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U:\eng_research_ConnizzoLab\Users\smlawer\_Data\Acute Injury\"/>
    </mc:Choice>
  </mc:AlternateContent>
  <xr:revisionPtr revIDLastSave="0" documentId="13_ncr:1_{2AD723B7-254C-493D-8574-D1F663998ACC}" xr6:coauthVersionLast="47" xr6:coauthVersionMax="47" xr10:uidLastSave="{00000000-0000-0000-0000-000000000000}"/>
  <bookViews>
    <workbookView xWindow="28680" yWindow="-120" windowWidth="29040" windowHeight="17640" tabRatio="911" firstSheet="7" activeTab="23" xr2:uid="{6BE800CE-9AC8-47CD-A019-34540735832A}"/>
  </bookViews>
  <sheets>
    <sheet name="Table of Contents" sheetId="1" r:id="rId1"/>
    <sheet name="All Data Summary" sheetId="2" r:id="rId2"/>
    <sheet name="All Data Stats" sheetId="17" r:id="rId3"/>
    <sheet name="Viability" sheetId="12" r:id="rId4"/>
    <sheet name="Biochem Summary" sheetId="18" r:id="rId5"/>
    <sheet name="Alamar Blue - Raw" sheetId="7" r:id="rId6"/>
    <sheet name="Alamar Blue - Analysis" sheetId="8" r:id="rId7"/>
    <sheet name="Picogreen" sheetId="14" r:id="rId8"/>
    <sheet name="DMMB" sheetId="15" r:id="rId9"/>
    <sheet name="OHP" sheetId="26" r:id="rId10"/>
    <sheet name="Weights" sheetId="13" r:id="rId11"/>
    <sheet name="Rx" sheetId="27" r:id="rId12"/>
    <sheet name="MMP Activity" sheetId="36" r:id="rId13"/>
    <sheet name="MSD Raw Data" sheetId="37" r:id="rId14"/>
    <sheet name="MSD Pivot Table" sheetId="38" r:id="rId15"/>
    <sheet name="MSD Analysis" sheetId="39" r:id="rId16"/>
    <sheet name="Histology" sheetId="28" r:id="rId17"/>
    <sheet name="H&amp;E" sheetId="30" r:id="rId18"/>
    <sheet name="SHG" sheetId="29" r:id="rId19"/>
    <sheet name="TolBlue" sheetId="32" r:id="rId20"/>
    <sheet name="PCR Results" sheetId="34" r:id="rId21"/>
    <sheet name="Gene Expression" sheetId="31" r:id="rId22"/>
    <sheet name="PCR Raw Data" sheetId="33" r:id="rId23"/>
    <sheet name="Mechanics" sheetId="35" r:id="rId24"/>
  </sheets>
  <calcPr calcId="191029"/>
  <pivotCaches>
    <pivotCache cacheId="0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35" l="1"/>
  <c r="Q33" i="35" s="1"/>
  <c r="I36" i="36"/>
  <c r="Q43" i="18"/>
  <c r="T43" i="18"/>
  <c r="Q44" i="18"/>
  <c r="T44" i="18"/>
  <c r="Q45" i="18"/>
  <c r="T45" i="18"/>
  <c r="Q46" i="18"/>
  <c r="T46" i="18"/>
  <c r="Q47" i="18"/>
  <c r="T47" i="18"/>
  <c r="Q48" i="18"/>
  <c r="S48" i="18" s="1"/>
  <c r="T48" i="18"/>
  <c r="Q49" i="18"/>
  <c r="T49" i="18"/>
  <c r="T42" i="18"/>
  <c r="Q42" i="18"/>
  <c r="Q113" i="18"/>
  <c r="T113" i="18"/>
  <c r="Q114" i="18"/>
  <c r="T114" i="18"/>
  <c r="V114" i="18" s="1"/>
  <c r="Q115" i="18"/>
  <c r="T115" i="18"/>
  <c r="T112" i="18"/>
  <c r="Q112" i="18"/>
  <c r="T134" i="18"/>
  <c r="T135" i="18"/>
  <c r="T136" i="18"/>
  <c r="T137" i="18"/>
  <c r="V137" i="18" s="1"/>
  <c r="Q134" i="18"/>
  <c r="Q135" i="18"/>
  <c r="Q136" i="18"/>
  <c r="Q137" i="18"/>
  <c r="T133" i="18"/>
  <c r="Q133" i="18"/>
  <c r="S133" i="18" s="1"/>
  <c r="CR12" i="27"/>
  <c r="CR7" i="27"/>
  <c r="CR3" i="27"/>
  <c r="CN7" i="27"/>
  <c r="CN12" i="27"/>
  <c r="CN3" i="27"/>
  <c r="BN45" i="15"/>
  <c r="BP45" i="15"/>
  <c r="BN49" i="15"/>
  <c r="BN60" i="15" s="1"/>
  <c r="K135" i="18" s="1"/>
  <c r="BL48" i="15"/>
  <c r="BL49" i="15"/>
  <c r="BW28" i="15"/>
  <c r="BV28" i="15"/>
  <c r="BU28" i="15"/>
  <c r="BT28" i="15"/>
  <c r="BS28" i="15"/>
  <c r="BR28" i="15"/>
  <c r="BQ28" i="15"/>
  <c r="BP28" i="15"/>
  <c r="BO28" i="15"/>
  <c r="BN28" i="15"/>
  <c r="BM28" i="15"/>
  <c r="BL28" i="15"/>
  <c r="BW27" i="15"/>
  <c r="BV27" i="15"/>
  <c r="BU27" i="15"/>
  <c r="BT27" i="15"/>
  <c r="BS27" i="15"/>
  <c r="BR27" i="15"/>
  <c r="BQ27" i="15"/>
  <c r="BP27" i="15"/>
  <c r="BO27" i="15"/>
  <c r="BO51" i="15" s="1"/>
  <c r="BN27" i="15"/>
  <c r="BN51" i="15" s="1"/>
  <c r="BN62" i="15" s="1"/>
  <c r="K137" i="18" s="1"/>
  <c r="BM27" i="15"/>
  <c r="BL27" i="15"/>
  <c r="BW26" i="15"/>
  <c r="BV26" i="15"/>
  <c r="BU26" i="15"/>
  <c r="BT26" i="15"/>
  <c r="BS26" i="15"/>
  <c r="BS50" i="15" s="1"/>
  <c r="BR26" i="15"/>
  <c r="BR50" i="15" s="1"/>
  <c r="BQ26" i="15"/>
  <c r="BQ50" i="15" s="1"/>
  <c r="BP26" i="15"/>
  <c r="BP50" i="15" s="1"/>
  <c r="BO26" i="15"/>
  <c r="BO50" i="15" s="1"/>
  <c r="BN26" i="15"/>
  <c r="BN50" i="15" s="1"/>
  <c r="BN61" i="15" s="1"/>
  <c r="K136" i="18" s="1"/>
  <c r="BM26" i="15"/>
  <c r="BM50" i="15" s="1"/>
  <c r="BL26" i="15"/>
  <c r="BL50" i="15" s="1"/>
  <c r="BW25" i="15"/>
  <c r="BV25" i="15"/>
  <c r="BU25" i="15"/>
  <c r="BT25" i="15"/>
  <c r="BS25" i="15"/>
  <c r="BS49" i="15" s="1"/>
  <c r="BR25" i="15"/>
  <c r="BR49" i="15" s="1"/>
  <c r="BQ25" i="15"/>
  <c r="BQ49" i="15" s="1"/>
  <c r="BP25" i="15"/>
  <c r="BP49" i="15" s="1"/>
  <c r="BO25" i="15"/>
  <c r="BO49" i="15" s="1"/>
  <c r="BN25" i="15"/>
  <c r="BM25" i="15"/>
  <c r="BM49" i="15" s="1"/>
  <c r="BL25" i="15"/>
  <c r="BW24" i="15"/>
  <c r="BV24" i="15"/>
  <c r="BU24" i="15"/>
  <c r="BT24" i="15"/>
  <c r="BS24" i="15"/>
  <c r="BS48" i="15" s="1"/>
  <c r="BR24" i="15"/>
  <c r="BR48" i="15" s="1"/>
  <c r="BQ24" i="15"/>
  <c r="BQ48" i="15" s="1"/>
  <c r="BP24" i="15"/>
  <c r="BP48" i="15" s="1"/>
  <c r="BO24" i="15"/>
  <c r="BO48" i="15" s="1"/>
  <c r="BN24" i="15"/>
  <c r="BN48" i="15" s="1"/>
  <c r="BM24" i="15"/>
  <c r="BM48" i="15" s="1"/>
  <c r="BL24" i="15"/>
  <c r="BW23" i="15"/>
  <c r="BV23" i="15"/>
  <c r="BU23" i="15"/>
  <c r="BT23" i="15"/>
  <c r="BS23" i="15"/>
  <c r="BS47" i="15" s="1"/>
  <c r="BR23" i="15"/>
  <c r="BR47" i="15" s="1"/>
  <c r="BQ23" i="15"/>
  <c r="BQ47" i="15" s="1"/>
  <c r="BP23" i="15"/>
  <c r="BP47" i="15" s="1"/>
  <c r="BO23" i="15"/>
  <c r="BO47" i="15" s="1"/>
  <c r="BN23" i="15"/>
  <c r="BN47" i="15" s="1"/>
  <c r="BN58" i="15" s="1"/>
  <c r="BM23" i="15"/>
  <c r="BM47" i="15" s="1"/>
  <c r="BL23" i="15"/>
  <c r="BL47" i="15" s="1"/>
  <c r="BW22" i="15"/>
  <c r="BV22" i="15"/>
  <c r="BU22" i="15"/>
  <c r="BU46" i="15" s="1"/>
  <c r="BT22" i="15"/>
  <c r="BT46" i="15" s="1"/>
  <c r="BS22" i="15"/>
  <c r="BS46" i="15" s="1"/>
  <c r="BR22" i="15"/>
  <c r="BR46" i="15" s="1"/>
  <c r="BQ22" i="15"/>
  <c r="BQ46" i="15" s="1"/>
  <c r="BP22" i="15"/>
  <c r="BP46" i="15" s="1"/>
  <c r="BO22" i="15"/>
  <c r="BO46" i="15" s="1"/>
  <c r="BN22" i="15"/>
  <c r="BN46" i="15" s="1"/>
  <c r="BM22" i="15"/>
  <c r="BM46" i="15" s="1"/>
  <c r="BL22" i="15"/>
  <c r="BL46" i="15" s="1"/>
  <c r="BW21" i="15"/>
  <c r="BV21" i="15"/>
  <c r="BU21" i="15"/>
  <c r="BU45" i="15" s="1"/>
  <c r="BT21" i="15"/>
  <c r="BK39" i="15" s="1"/>
  <c r="BS21" i="15"/>
  <c r="BK38" i="15" s="1"/>
  <c r="BR21" i="15"/>
  <c r="BK37" i="15" s="1"/>
  <c r="BQ21" i="15"/>
  <c r="BK36" i="15" s="1"/>
  <c r="BP21" i="15"/>
  <c r="BO21" i="15"/>
  <c r="BO45" i="15" s="1"/>
  <c r="BN21" i="15"/>
  <c r="BM21" i="15"/>
  <c r="BM45" i="15" s="1"/>
  <c r="BL21" i="15"/>
  <c r="BL45" i="15" s="1"/>
  <c r="BK28" i="14"/>
  <c r="BQ11" i="14"/>
  <c r="BN13" i="14" s="1"/>
  <c r="BN37" i="14" s="1"/>
  <c r="BK27" i="14"/>
  <c r="BK26" i="14"/>
  <c r="F135" i="18"/>
  <c r="F136" i="18"/>
  <c r="S136" i="18" s="1"/>
  <c r="E113" i="18"/>
  <c r="E45" i="18"/>
  <c r="E47" i="8"/>
  <c r="E48" i="8"/>
  <c r="E49" i="8"/>
  <c r="E50" i="8"/>
  <c r="E51" i="8"/>
  <c r="E52" i="8"/>
  <c r="E46" i="8"/>
  <c r="F46" i="8" s="1"/>
  <c r="M114" i="13"/>
  <c r="F112" i="18" s="1"/>
  <c r="M115" i="13"/>
  <c r="F113" i="18" s="1"/>
  <c r="S113" i="18" s="1"/>
  <c r="M116" i="13"/>
  <c r="F114" i="18" s="1"/>
  <c r="S114" i="18" s="1"/>
  <c r="M117" i="13"/>
  <c r="F115" i="18" s="1"/>
  <c r="M118" i="13"/>
  <c r="M119" i="13"/>
  <c r="F133" i="18" s="1"/>
  <c r="V133" i="18" s="1"/>
  <c r="M120" i="13"/>
  <c r="F134" i="18" s="1"/>
  <c r="M121" i="13"/>
  <c r="M122" i="13"/>
  <c r="M123" i="13"/>
  <c r="F137" i="18" s="1"/>
  <c r="M124" i="13"/>
  <c r="F42" i="18" s="1"/>
  <c r="S42" i="18" s="1"/>
  <c r="M125" i="13"/>
  <c r="F43" i="18" s="1"/>
  <c r="S43" i="18" s="1"/>
  <c r="M126" i="13"/>
  <c r="F44" i="18" s="1"/>
  <c r="M127" i="13"/>
  <c r="F45" i="18" s="1"/>
  <c r="S45" i="18" s="1"/>
  <c r="M128" i="13"/>
  <c r="F46" i="18" s="1"/>
  <c r="V46" i="18" s="1"/>
  <c r="M129" i="13"/>
  <c r="F47" i="18" s="1"/>
  <c r="M130" i="13"/>
  <c r="F48" i="18" s="1"/>
  <c r="M131" i="13"/>
  <c r="F49" i="18" s="1"/>
  <c r="I114" i="13"/>
  <c r="E112" i="18" s="1"/>
  <c r="I115" i="13"/>
  <c r="I116" i="13"/>
  <c r="E114" i="18" s="1"/>
  <c r="I117" i="13"/>
  <c r="E115" i="18" s="1"/>
  <c r="I118" i="13"/>
  <c r="E116" i="18" s="1"/>
  <c r="I119" i="13"/>
  <c r="E133" i="18" s="1"/>
  <c r="I120" i="13"/>
  <c r="E134" i="18" s="1"/>
  <c r="I121" i="13"/>
  <c r="E135" i="18" s="1"/>
  <c r="I122" i="13"/>
  <c r="E136" i="18" s="1"/>
  <c r="I123" i="13"/>
  <c r="E137" i="18" s="1"/>
  <c r="I124" i="13"/>
  <c r="E42" i="18" s="1"/>
  <c r="I125" i="13"/>
  <c r="E43" i="18" s="1"/>
  <c r="I126" i="13"/>
  <c r="E44" i="18" s="1"/>
  <c r="I127" i="13"/>
  <c r="I128" i="13"/>
  <c r="E46" i="18" s="1"/>
  <c r="I129" i="13"/>
  <c r="E47" i="18" s="1"/>
  <c r="I130" i="13"/>
  <c r="E48" i="18" s="1"/>
  <c r="I131" i="13"/>
  <c r="E49" i="18" s="1"/>
  <c r="F48" i="8" l="1"/>
  <c r="H43" i="18" s="1"/>
  <c r="F52" i="8"/>
  <c r="H47" i="18" s="1"/>
  <c r="S49" i="18"/>
  <c r="BK33" i="15"/>
  <c r="V44" i="18"/>
  <c r="S112" i="18"/>
  <c r="F51" i="8"/>
  <c r="V47" i="18"/>
  <c r="S137" i="18"/>
  <c r="V136" i="18"/>
  <c r="V112" i="18"/>
  <c r="V49" i="18"/>
  <c r="S47" i="18"/>
  <c r="F49" i="8"/>
  <c r="H44" i="18" s="1"/>
  <c r="BN54" i="15"/>
  <c r="BN57" i="15"/>
  <c r="K115" i="18" s="1"/>
  <c r="V113" i="18"/>
  <c r="V135" i="18"/>
  <c r="V45" i="18"/>
  <c r="F47" i="8"/>
  <c r="H42" i="18" s="1"/>
  <c r="V115" i="18"/>
  <c r="V42" i="18"/>
  <c r="G49" i="18"/>
  <c r="G48" i="18"/>
  <c r="BN59" i="15"/>
  <c r="K134" i="18" s="1"/>
  <c r="BT45" i="15"/>
  <c r="S135" i="18"/>
  <c r="V134" i="18"/>
  <c r="S115" i="18"/>
  <c r="V48" i="18"/>
  <c r="G47" i="18"/>
  <c r="G115" i="18"/>
  <c r="BN63" i="15"/>
  <c r="K42" i="18" s="1"/>
  <c r="BN64" i="15"/>
  <c r="K43" i="18" s="1"/>
  <c r="M43" i="18" s="1"/>
  <c r="BN65" i="15"/>
  <c r="K44" i="18" s="1"/>
  <c r="M44" i="18" s="1"/>
  <c r="BN66" i="15"/>
  <c r="K45" i="18" s="1"/>
  <c r="M45" i="18" s="1"/>
  <c r="BR45" i="15"/>
  <c r="S44" i="18"/>
  <c r="S134" i="18"/>
  <c r="S46" i="18"/>
  <c r="BN70" i="15"/>
  <c r="K49" i="18" s="1"/>
  <c r="M49" i="18" s="1"/>
  <c r="V43" i="18"/>
  <c r="BN68" i="15"/>
  <c r="K47" i="18" s="1"/>
  <c r="M135" i="18"/>
  <c r="G43" i="18"/>
  <c r="BN67" i="15"/>
  <c r="K46" i="18" s="1"/>
  <c r="M115" i="18"/>
  <c r="K112" i="18"/>
  <c r="M137" i="18"/>
  <c r="BN56" i="15"/>
  <c r="K114" i="18" s="1"/>
  <c r="K133" i="18"/>
  <c r="M134" i="18"/>
  <c r="BN55" i="15"/>
  <c r="K113" i="18" s="1"/>
  <c r="G46" i="18"/>
  <c r="G114" i="18"/>
  <c r="M136" i="18"/>
  <c r="BN69" i="15"/>
  <c r="K48" i="18" s="1"/>
  <c r="BS19" i="14"/>
  <c r="BL13" i="14"/>
  <c r="BS20" i="14"/>
  <c r="BR19" i="14"/>
  <c r="BQ18" i="14"/>
  <c r="BP17" i="14"/>
  <c r="BP41" i="14" s="1"/>
  <c r="BO16" i="14"/>
  <c r="BO40" i="14" s="1"/>
  <c r="BN15" i="14"/>
  <c r="BN39" i="14" s="1"/>
  <c r="BM14" i="14"/>
  <c r="F50" i="8"/>
  <c r="H45" i="18" s="1"/>
  <c r="BL20" i="14"/>
  <c r="BR20" i="14"/>
  <c r="BQ19" i="14"/>
  <c r="BP18" i="14"/>
  <c r="BO17" i="14"/>
  <c r="BN16" i="14"/>
  <c r="BN40" i="14" s="1"/>
  <c r="BM15" i="14"/>
  <c r="BW13" i="14"/>
  <c r="BL19" i="14"/>
  <c r="BQ20" i="14"/>
  <c r="BP19" i="14"/>
  <c r="BO18" i="14"/>
  <c r="BN17" i="14"/>
  <c r="BM16" i="14"/>
  <c r="BW14" i="14"/>
  <c r="BV13" i="14"/>
  <c r="BT20" i="14"/>
  <c r="BR18" i="14"/>
  <c r="BP16" i="14"/>
  <c r="BP40" i="14" s="1"/>
  <c r="BO15" i="14"/>
  <c r="BO39" i="14" s="1"/>
  <c r="BN14" i="14"/>
  <c r="BN38" i="14" s="1"/>
  <c r="G113" i="18"/>
  <c r="BL18" i="14"/>
  <c r="BP20" i="14"/>
  <c r="BO19" i="14"/>
  <c r="BN18" i="14"/>
  <c r="BM17" i="14"/>
  <c r="BW15" i="14"/>
  <c r="BV14" i="14"/>
  <c r="BU13" i="14"/>
  <c r="BU37" i="14" s="1"/>
  <c r="BL17" i="14"/>
  <c r="BO20" i="14"/>
  <c r="BN19" i="14"/>
  <c r="BM18" i="14"/>
  <c r="BW16" i="14"/>
  <c r="BV15" i="14"/>
  <c r="BU14" i="14"/>
  <c r="BU38" i="14" s="1"/>
  <c r="BT13" i="14"/>
  <c r="BT37" i="14" s="1"/>
  <c r="BN59" i="14" s="1"/>
  <c r="I46" i="18" s="1"/>
  <c r="J46" i="18" s="1"/>
  <c r="BN20" i="14"/>
  <c r="BW17" i="14"/>
  <c r="BU15" i="14"/>
  <c r="BU39" i="14" s="1"/>
  <c r="BS13" i="14"/>
  <c r="BS37" i="14" s="1"/>
  <c r="BL15" i="14"/>
  <c r="BM20" i="14"/>
  <c r="BW18" i="14"/>
  <c r="BV17" i="14"/>
  <c r="BU16" i="14"/>
  <c r="BU40" i="14" s="1"/>
  <c r="BT15" i="14"/>
  <c r="BT39" i="14" s="1"/>
  <c r="BS14" i="14"/>
  <c r="BS38" i="14" s="1"/>
  <c r="BR13" i="14"/>
  <c r="BR37" i="14" s="1"/>
  <c r="BN55" i="14" s="1"/>
  <c r="BM13" i="14"/>
  <c r="BL16" i="14"/>
  <c r="BL14" i="14"/>
  <c r="BW19" i="14"/>
  <c r="BV18" i="14"/>
  <c r="BU17" i="14"/>
  <c r="BT16" i="14"/>
  <c r="BT40" i="14" s="1"/>
  <c r="BS15" i="14"/>
  <c r="BS39" i="14" s="1"/>
  <c r="BR14" i="14"/>
  <c r="BR38" i="14" s="1"/>
  <c r="BQ13" i="14"/>
  <c r="BQ37" i="14" s="1"/>
  <c r="BQ17" i="14"/>
  <c r="BQ41" i="14" s="1"/>
  <c r="BM19" i="14"/>
  <c r="BV16" i="14"/>
  <c r="BT14" i="14"/>
  <c r="BT38" i="14" s="1"/>
  <c r="G112" i="18"/>
  <c r="BW20" i="14"/>
  <c r="BV19" i="14"/>
  <c r="BU18" i="14"/>
  <c r="BT17" i="14"/>
  <c r="BS16" i="14"/>
  <c r="BS40" i="14" s="1"/>
  <c r="BR15" i="14"/>
  <c r="BR39" i="14" s="1"/>
  <c r="BQ14" i="14"/>
  <c r="BQ38" i="14" s="1"/>
  <c r="BP13" i="14"/>
  <c r="BP37" i="14" s="1"/>
  <c r="BS45" i="15"/>
  <c r="G42" i="18"/>
  <c r="BV20" i="14"/>
  <c r="BT18" i="14"/>
  <c r="BR16" i="14"/>
  <c r="BR40" i="14" s="1"/>
  <c r="BP14" i="14"/>
  <c r="BP38" i="14" s="1"/>
  <c r="BU19" i="14"/>
  <c r="BS17" i="14"/>
  <c r="BQ15" i="14"/>
  <c r="BQ39" i="14" s="1"/>
  <c r="BO13" i="14"/>
  <c r="BO37" i="14" s="1"/>
  <c r="BN46" i="14" s="1"/>
  <c r="G44" i="18"/>
  <c r="BU20" i="14"/>
  <c r="BT19" i="14"/>
  <c r="BS18" i="14"/>
  <c r="BR17" i="14"/>
  <c r="BQ16" i="14"/>
  <c r="BQ40" i="14" s="1"/>
  <c r="BP15" i="14"/>
  <c r="BP39" i="14" s="1"/>
  <c r="BO14" i="14"/>
  <c r="BO38" i="14" s="1"/>
  <c r="BQ45" i="15"/>
  <c r="BK35" i="15"/>
  <c r="BK40" i="15"/>
  <c r="BK34" i="15"/>
  <c r="G45" i="18"/>
  <c r="BN56" i="14" l="1"/>
  <c r="I43" i="18" s="1"/>
  <c r="U43" i="18" s="1"/>
  <c r="BN60" i="14"/>
  <c r="I47" i="18" s="1"/>
  <c r="R46" i="18"/>
  <c r="BO63" i="15"/>
  <c r="U46" i="18"/>
  <c r="BK25" i="14"/>
  <c r="J47" i="18"/>
  <c r="U47" i="18"/>
  <c r="BK24" i="14"/>
  <c r="R47" i="18"/>
  <c r="BO58" i="15"/>
  <c r="BN57" i="14"/>
  <c r="I44" i="18" s="1"/>
  <c r="J43" i="18"/>
  <c r="I112" i="18"/>
  <c r="L112" i="18"/>
  <c r="M112" i="18"/>
  <c r="M48" i="18"/>
  <c r="BO54" i="15"/>
  <c r="BN50" i="14"/>
  <c r="BN61" i="14"/>
  <c r="I48" i="18" s="1"/>
  <c r="L113" i="18"/>
  <c r="M113" i="18"/>
  <c r="M46" i="18"/>
  <c r="L46" i="18"/>
  <c r="I42" i="18"/>
  <c r="BN48" i="14"/>
  <c r="I114" i="18" s="1"/>
  <c r="BN62" i="14"/>
  <c r="I49" i="18" s="1"/>
  <c r="BN47" i="14"/>
  <c r="I113" i="18" s="1"/>
  <c r="BN54" i="14"/>
  <c r="I137" i="18" s="1"/>
  <c r="M133" i="18"/>
  <c r="M42" i="18"/>
  <c r="BN51" i="14"/>
  <c r="I134" i="18" s="1"/>
  <c r="BN53" i="14"/>
  <c r="I136" i="18" s="1"/>
  <c r="BN52" i="14"/>
  <c r="I135" i="18" s="1"/>
  <c r="BN58" i="14"/>
  <c r="I45" i="18" s="1"/>
  <c r="BN49" i="14"/>
  <c r="I115" i="18" s="1"/>
  <c r="M114" i="18"/>
  <c r="L47" i="18"/>
  <c r="M47" i="18"/>
  <c r="AJ21" i="27"/>
  <c r="K43" i="8"/>
  <c r="K44" i="8"/>
  <c r="K45" i="8"/>
  <c r="K36" i="8"/>
  <c r="K37" i="8"/>
  <c r="K38" i="8"/>
  <c r="K39" i="8"/>
  <c r="K40" i="8"/>
  <c r="K41" i="8"/>
  <c r="K42" i="8"/>
  <c r="K35" i="8"/>
  <c r="L35" i="8" s="1"/>
  <c r="L43" i="18" l="1"/>
  <c r="R43" i="18"/>
  <c r="J114" i="18"/>
  <c r="U114" i="18"/>
  <c r="R114" i="18"/>
  <c r="J42" i="18"/>
  <c r="U42" i="18"/>
  <c r="R42" i="18"/>
  <c r="U135" i="18"/>
  <c r="R135" i="18"/>
  <c r="R136" i="18"/>
  <c r="U136" i="18"/>
  <c r="J44" i="18"/>
  <c r="U44" i="18"/>
  <c r="R44" i="18"/>
  <c r="R45" i="18"/>
  <c r="U45" i="18"/>
  <c r="J112" i="18"/>
  <c r="R112" i="18"/>
  <c r="U112" i="18"/>
  <c r="L44" i="18"/>
  <c r="J48" i="18"/>
  <c r="R48" i="18"/>
  <c r="U48" i="18"/>
  <c r="U134" i="18"/>
  <c r="R134" i="18"/>
  <c r="R137" i="18"/>
  <c r="U137" i="18"/>
  <c r="R49" i="18"/>
  <c r="U49" i="18"/>
  <c r="L42" i="18"/>
  <c r="J113" i="18"/>
  <c r="R113" i="18"/>
  <c r="U113" i="18"/>
  <c r="L114" i="18"/>
  <c r="U115" i="18"/>
  <c r="R115" i="18"/>
  <c r="I133" i="18"/>
  <c r="BO50" i="14"/>
  <c r="J115" i="18"/>
  <c r="L115" i="18"/>
  <c r="L48" i="18"/>
  <c r="J137" i="18"/>
  <c r="L137" i="18"/>
  <c r="J135" i="18"/>
  <c r="L135" i="18"/>
  <c r="J49" i="18"/>
  <c r="L49" i="18"/>
  <c r="J136" i="18"/>
  <c r="L136" i="18"/>
  <c r="BO55" i="14"/>
  <c r="J134" i="18"/>
  <c r="L134" i="18"/>
  <c r="BO46" i="14"/>
  <c r="J45" i="18"/>
  <c r="L45" i="18"/>
  <c r="L43" i="8"/>
  <c r="H135" i="18" s="1"/>
  <c r="L44" i="8"/>
  <c r="H136" i="18" s="1"/>
  <c r="L41" i="8"/>
  <c r="H133" i="18" s="1"/>
  <c r="L45" i="8"/>
  <c r="H137" i="18" s="1"/>
  <c r="L42" i="8"/>
  <c r="H134" i="18" s="1"/>
  <c r="L40" i="8"/>
  <c r="H116" i="18" s="1"/>
  <c r="L39" i="8"/>
  <c r="H115" i="18" s="1"/>
  <c r="L38" i="8"/>
  <c r="H114" i="18" s="1"/>
  <c r="L37" i="8"/>
  <c r="H113" i="18" s="1"/>
  <c r="L36" i="8"/>
  <c r="AJ20" i="27"/>
  <c r="U133" i="18" l="1"/>
  <c r="R133" i="18"/>
  <c r="N37" i="8"/>
  <c r="H112" i="18"/>
  <c r="J133" i="18"/>
  <c r="L133" i="18"/>
  <c r="N38" i="8"/>
  <c r="W71" i="12"/>
  <c r="W70" i="12"/>
  <c r="W69" i="12"/>
  <c r="W68" i="12"/>
  <c r="Y64" i="12"/>
  <c r="W64" i="12"/>
  <c r="Y63" i="12"/>
  <c r="W63" i="12"/>
  <c r="Y62" i="12"/>
  <c r="W62" i="12"/>
  <c r="Y61" i="12"/>
  <c r="W61" i="12"/>
  <c r="S88" i="12"/>
  <c r="R88" i="12"/>
  <c r="Q88" i="12"/>
  <c r="P88" i="12"/>
  <c r="T86" i="12"/>
  <c r="I86" i="12"/>
  <c r="H86" i="12"/>
  <c r="G86" i="12"/>
  <c r="F86" i="12"/>
  <c r="T84" i="12"/>
  <c r="J84" i="12"/>
  <c r="J82" i="12"/>
  <c r="T81" i="12"/>
  <c r="J80" i="12"/>
  <c r="J78" i="12"/>
  <c r="I77" i="12"/>
  <c r="H77" i="12"/>
  <c r="G77" i="12"/>
  <c r="F77" i="12"/>
  <c r="R76" i="12"/>
  <c r="Q76" i="12"/>
  <c r="P76" i="12"/>
  <c r="J75" i="12"/>
  <c r="T74" i="12"/>
  <c r="J73" i="12"/>
  <c r="T71" i="12"/>
  <c r="J71" i="12"/>
  <c r="T69" i="12"/>
  <c r="J69" i="12"/>
  <c r="R68" i="12"/>
  <c r="Q68" i="12"/>
  <c r="P68" i="12"/>
  <c r="I68" i="12"/>
  <c r="H68" i="12"/>
  <c r="G68" i="12"/>
  <c r="F68" i="12"/>
  <c r="T66" i="12"/>
  <c r="J66" i="12"/>
  <c r="T64" i="12"/>
  <c r="J64" i="12"/>
  <c r="T62" i="12"/>
  <c r="J62" i="12"/>
  <c r="T60" i="12"/>
  <c r="J60" i="12"/>
  <c r="X69" i="12" s="1"/>
  <c r="S59" i="12"/>
  <c r="R59" i="12"/>
  <c r="Q59" i="12"/>
  <c r="P59" i="12"/>
  <c r="I59" i="12"/>
  <c r="H59" i="12"/>
  <c r="G59" i="12"/>
  <c r="F59" i="12"/>
  <c r="T57" i="12"/>
  <c r="J57" i="12"/>
  <c r="T55" i="12"/>
  <c r="J55" i="12"/>
  <c r="T53" i="12"/>
  <c r="J53" i="12"/>
  <c r="T51" i="12"/>
  <c r="J51" i="12"/>
  <c r="S68" i="12" l="1"/>
  <c r="AA55" i="12"/>
  <c r="X64" i="12"/>
  <c r="X70" i="12"/>
  <c r="Z55" i="12"/>
  <c r="AA53" i="12"/>
  <c r="X56" i="12"/>
  <c r="X53" i="12"/>
  <c r="Z63" i="12"/>
  <c r="W54" i="12"/>
  <c r="X61" i="12"/>
  <c r="Z64" i="12"/>
  <c r="AA56" i="12"/>
  <c r="X71" i="12"/>
  <c r="Z56" i="12"/>
  <c r="AA54" i="12"/>
  <c r="W55" i="12"/>
  <c r="X62" i="12"/>
  <c r="X68" i="12"/>
  <c r="X54" i="12"/>
  <c r="Z61" i="12"/>
  <c r="Z54" i="12"/>
  <c r="X55" i="12"/>
  <c r="Z62" i="12"/>
  <c r="W53" i="12"/>
  <c r="W56" i="12"/>
  <c r="X63" i="12"/>
  <c r="Z53" i="12"/>
  <c r="S76" i="12"/>
  <c r="I69" i="36" l="1"/>
  <c r="AJ81" i="36" s="1"/>
  <c r="I70" i="36"/>
  <c r="AJ82" i="36" s="1"/>
  <c r="I71" i="36"/>
  <c r="AJ83" i="36" s="1"/>
  <c r="I72" i="36"/>
  <c r="AJ84" i="36" s="1"/>
  <c r="I73" i="36"/>
  <c r="AJ85" i="36" s="1"/>
  <c r="I74" i="36"/>
  <c r="AJ86" i="36" s="1"/>
  <c r="I75" i="36"/>
  <c r="AJ87" i="36" s="1"/>
  <c r="I68" i="36"/>
  <c r="AJ80" i="36" s="1"/>
  <c r="I67" i="36"/>
  <c r="AJ79" i="36" s="1"/>
  <c r="I61" i="36"/>
  <c r="I62" i="36"/>
  <c r="AJ29" i="36" s="1"/>
  <c r="I63" i="36"/>
  <c r="AJ30" i="36" s="1"/>
  <c r="I64" i="36"/>
  <c r="AJ31" i="36" s="1"/>
  <c r="I65" i="36"/>
  <c r="AJ32" i="36" s="1"/>
  <c r="I66" i="36"/>
  <c r="AJ78" i="36" s="1"/>
  <c r="I60" i="36"/>
  <c r="AJ27" i="36" s="1"/>
  <c r="I53" i="36"/>
  <c r="AJ20" i="36" s="1"/>
  <c r="I54" i="36"/>
  <c r="AJ21" i="36" s="1"/>
  <c r="I55" i="36"/>
  <c r="AJ22" i="36" s="1"/>
  <c r="I56" i="36"/>
  <c r="I57" i="36"/>
  <c r="AJ24" i="36" s="1"/>
  <c r="I58" i="36"/>
  <c r="AJ25" i="36" s="1"/>
  <c r="I59" i="36"/>
  <c r="AJ26" i="36" s="1"/>
  <c r="I52" i="36"/>
  <c r="AJ19" i="36" s="1"/>
  <c r="I45" i="36"/>
  <c r="AJ47" i="36" s="1"/>
  <c r="I46" i="36"/>
  <c r="I47" i="36"/>
  <c r="AJ54" i="36" s="1"/>
  <c r="I48" i="36"/>
  <c r="AJ55" i="36" s="1"/>
  <c r="I49" i="36"/>
  <c r="AJ56" i="36" s="1"/>
  <c r="I50" i="36"/>
  <c r="AJ57" i="36" s="1"/>
  <c r="I51" i="36"/>
  <c r="AJ18" i="36" s="1"/>
  <c r="I44" i="36"/>
  <c r="AJ46" i="36" s="1"/>
  <c r="I42" i="36"/>
  <c r="AJ44" i="36" s="1"/>
  <c r="I43" i="36"/>
  <c r="AJ45" i="36" s="1"/>
  <c r="I37" i="36"/>
  <c r="AJ34" i="36" s="1"/>
  <c r="I38" i="36"/>
  <c r="AJ35" i="36" s="1"/>
  <c r="I39" i="36"/>
  <c r="AJ36" i="36" s="1"/>
  <c r="I40" i="36"/>
  <c r="AJ37" i="36" s="1"/>
  <c r="I41" i="36"/>
  <c r="AJ43" i="36" s="1"/>
  <c r="AJ33" i="36"/>
  <c r="AP76" i="36" l="1"/>
  <c r="AR67" i="36"/>
  <c r="AR77" i="36"/>
  <c r="AP77" i="36"/>
  <c r="AQ77" i="36"/>
  <c r="AR76" i="36"/>
  <c r="AQ76" i="36"/>
  <c r="AP67" i="36"/>
  <c r="AQ67" i="36"/>
  <c r="AK78" i="36"/>
  <c r="AS42" i="36"/>
  <c r="AK83" i="36"/>
  <c r="J66" i="36"/>
  <c r="AK18" i="36"/>
  <c r="J46" i="36"/>
  <c r="J61" i="36"/>
  <c r="J56" i="36"/>
  <c r="AJ53" i="36"/>
  <c r="J71" i="36"/>
  <c r="AJ28" i="36"/>
  <c r="J36" i="36"/>
  <c r="AJ23" i="36"/>
  <c r="J41" i="36"/>
  <c r="J51" i="36"/>
  <c r="Y43" i="39"/>
  <c r="X43" i="39"/>
  <c r="W43" i="39"/>
  <c r="V43" i="39"/>
  <c r="T43" i="39"/>
  <c r="S43" i="39"/>
  <c r="Y42" i="39"/>
  <c r="X42" i="39"/>
  <c r="W42" i="39"/>
  <c r="V42" i="39"/>
  <c r="T42" i="39"/>
  <c r="S42" i="39"/>
  <c r="Y41" i="39"/>
  <c r="X41" i="39"/>
  <c r="W41" i="39"/>
  <c r="V41" i="39"/>
  <c r="U41" i="39"/>
  <c r="S41" i="39"/>
  <c r="Y40" i="39"/>
  <c r="X40" i="39"/>
  <c r="W40" i="39"/>
  <c r="V40" i="39"/>
  <c r="U40" i="39"/>
  <c r="T40" i="39"/>
  <c r="S40" i="39"/>
  <c r="Y39" i="39"/>
  <c r="X39" i="39"/>
  <c r="W39" i="39"/>
  <c r="V39" i="39"/>
  <c r="S39" i="39"/>
  <c r="Y38" i="39"/>
  <c r="X38" i="39"/>
  <c r="W38" i="39"/>
  <c r="V38" i="39"/>
  <c r="U38" i="39"/>
  <c r="S38" i="39"/>
  <c r="Y37" i="39"/>
  <c r="X37" i="39"/>
  <c r="W37" i="39"/>
  <c r="V37" i="39"/>
  <c r="T37" i="39"/>
  <c r="S37" i="39"/>
  <c r="Y36" i="39"/>
  <c r="X36" i="39"/>
  <c r="W36" i="39"/>
  <c r="V36" i="39"/>
  <c r="S36" i="39"/>
  <c r="Y35" i="39"/>
  <c r="X35" i="39"/>
  <c r="W35" i="39"/>
  <c r="V35" i="39"/>
  <c r="S35" i="39"/>
  <c r="Y34" i="39"/>
  <c r="X34" i="39"/>
  <c r="W34" i="39"/>
  <c r="V34" i="39"/>
  <c r="S34" i="39"/>
  <c r="Y33" i="39"/>
  <c r="X33" i="39"/>
  <c r="W33" i="39"/>
  <c r="V33" i="39"/>
  <c r="U33" i="39"/>
  <c r="S33" i="39"/>
  <c r="Y32" i="39"/>
  <c r="X32" i="39"/>
  <c r="W32" i="39"/>
  <c r="V32" i="39"/>
  <c r="S32" i="39"/>
  <c r="Y31" i="39"/>
  <c r="X31" i="39"/>
  <c r="W31" i="39"/>
  <c r="V31" i="39"/>
  <c r="T31" i="39"/>
  <c r="S31" i="39"/>
  <c r="Y30" i="39"/>
  <c r="X30" i="39"/>
  <c r="W30" i="39"/>
  <c r="V30" i="39"/>
  <c r="S30" i="39"/>
  <c r="Y29" i="39"/>
  <c r="X29" i="39"/>
  <c r="W29" i="39"/>
  <c r="V29" i="39"/>
  <c r="U29" i="39"/>
  <c r="S29" i="39"/>
  <c r="Y28" i="39"/>
  <c r="X28" i="39"/>
  <c r="W28" i="39"/>
  <c r="V28" i="39"/>
  <c r="U28" i="39"/>
  <c r="T28" i="39"/>
  <c r="Y27" i="39"/>
  <c r="X27" i="39"/>
  <c r="W27" i="39"/>
  <c r="V27" i="39"/>
  <c r="U27" i="39"/>
  <c r="T27" i="39"/>
  <c r="S27" i="39"/>
  <c r="Y26" i="39"/>
  <c r="X26" i="39"/>
  <c r="W26" i="39"/>
  <c r="V26" i="39"/>
  <c r="U26" i="39"/>
  <c r="T26" i="39"/>
  <c r="S26" i="39"/>
  <c r="Y25" i="39"/>
  <c r="X25" i="39"/>
  <c r="W25" i="39"/>
  <c r="V25" i="39"/>
  <c r="T25" i="39"/>
  <c r="S25" i="39"/>
  <c r="Y24" i="39"/>
  <c r="X24" i="39"/>
  <c r="W24" i="39"/>
  <c r="V24" i="39"/>
  <c r="U24" i="39"/>
  <c r="T24" i="39"/>
  <c r="S24" i="39"/>
  <c r="Y23" i="39"/>
  <c r="X23" i="39"/>
  <c r="W23" i="39"/>
  <c r="V23" i="39"/>
  <c r="T23" i="39"/>
  <c r="S23" i="39"/>
  <c r="Y22" i="39"/>
  <c r="X22" i="39"/>
  <c r="W22" i="39"/>
  <c r="V22" i="39"/>
  <c r="U22" i="39"/>
  <c r="T22" i="39"/>
  <c r="S22" i="39"/>
  <c r="Y21" i="39"/>
  <c r="X21" i="39"/>
  <c r="W21" i="39"/>
  <c r="V21" i="39"/>
  <c r="T21" i="39"/>
  <c r="S21" i="39"/>
  <c r="Y20" i="39"/>
  <c r="X20" i="39"/>
  <c r="W20" i="39"/>
  <c r="V20" i="39"/>
  <c r="U20" i="39"/>
  <c r="T20" i="39"/>
  <c r="S20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AB17" i="36"/>
  <c r="E27" i="36"/>
  <c r="F27" i="36"/>
  <c r="G27" i="36"/>
  <c r="H27" i="36"/>
  <c r="I27" i="36"/>
  <c r="J27" i="36"/>
  <c r="K27" i="36"/>
  <c r="L27" i="36"/>
  <c r="M27" i="36"/>
  <c r="N27" i="36"/>
  <c r="O27" i="36"/>
  <c r="E28" i="36"/>
  <c r="F28" i="36"/>
  <c r="G28" i="36"/>
  <c r="H28" i="36"/>
  <c r="I28" i="36"/>
  <c r="J28" i="36"/>
  <c r="K28" i="36"/>
  <c r="L28" i="36"/>
  <c r="M28" i="36"/>
  <c r="N28" i="36"/>
  <c r="O28" i="36"/>
  <c r="E29" i="36"/>
  <c r="F29" i="36"/>
  <c r="G29" i="36"/>
  <c r="H29" i="36"/>
  <c r="I29" i="36"/>
  <c r="J29" i="36"/>
  <c r="K29" i="36"/>
  <c r="L29" i="36"/>
  <c r="M29" i="36"/>
  <c r="N29" i="36"/>
  <c r="O29" i="36"/>
  <c r="E30" i="36"/>
  <c r="F30" i="36"/>
  <c r="G30" i="36"/>
  <c r="H30" i="36"/>
  <c r="I30" i="36"/>
  <c r="J30" i="36"/>
  <c r="K30" i="36"/>
  <c r="L30" i="36"/>
  <c r="M30" i="36"/>
  <c r="N30" i="36"/>
  <c r="O30" i="36"/>
  <c r="E31" i="36"/>
  <c r="F31" i="36"/>
  <c r="G31" i="36"/>
  <c r="H31" i="36"/>
  <c r="I31" i="36"/>
  <c r="J31" i="36"/>
  <c r="K31" i="36"/>
  <c r="L31" i="36"/>
  <c r="M31" i="36"/>
  <c r="N31" i="36"/>
  <c r="O31" i="36"/>
  <c r="E32" i="36"/>
  <c r="F32" i="36"/>
  <c r="G32" i="36"/>
  <c r="H32" i="36"/>
  <c r="I32" i="36"/>
  <c r="J32" i="36"/>
  <c r="K32" i="36"/>
  <c r="L32" i="36"/>
  <c r="M32" i="36"/>
  <c r="N32" i="36"/>
  <c r="O32" i="36"/>
  <c r="E33" i="36"/>
  <c r="F33" i="36"/>
  <c r="G33" i="36"/>
  <c r="H33" i="36"/>
  <c r="I33" i="36"/>
  <c r="J33" i="36"/>
  <c r="K33" i="36"/>
  <c r="L33" i="36"/>
  <c r="M33" i="36"/>
  <c r="N33" i="36"/>
  <c r="O33" i="36"/>
  <c r="E34" i="36"/>
  <c r="F34" i="36"/>
  <c r="G34" i="36"/>
  <c r="H34" i="36"/>
  <c r="I34" i="36"/>
  <c r="J34" i="36"/>
  <c r="K34" i="36"/>
  <c r="L34" i="36"/>
  <c r="M34" i="36"/>
  <c r="N34" i="36"/>
  <c r="O34" i="36"/>
  <c r="D28" i="36"/>
  <c r="D29" i="36"/>
  <c r="D30" i="36"/>
  <c r="D31" i="36"/>
  <c r="D32" i="36"/>
  <c r="D33" i="36"/>
  <c r="D34" i="36"/>
  <c r="D27" i="36"/>
  <c r="C13" i="36"/>
  <c r="C14" i="36"/>
  <c r="C15" i="36"/>
  <c r="C16" i="36"/>
  <c r="C17" i="36"/>
  <c r="C18" i="36"/>
  <c r="C19" i="36"/>
  <c r="C12" i="36"/>
  <c r="AP68" i="36" l="1"/>
  <c r="AR68" i="36"/>
  <c r="AQ68" i="36"/>
  <c r="AR69" i="36"/>
  <c r="AQ69" i="36"/>
  <c r="AS31" i="36"/>
  <c r="AP69" i="36"/>
  <c r="AK28" i="36"/>
  <c r="AS32" i="36"/>
  <c r="AK23" i="36"/>
  <c r="AS30" i="36"/>
  <c r="X27" i="36"/>
  <c r="V75" i="36"/>
  <c r="V55" i="36"/>
  <c r="AJ40" i="36" s="1"/>
  <c r="V51" i="36"/>
  <c r="AJ76" i="36" s="1"/>
  <c r="V68" i="36"/>
  <c r="V56" i="36"/>
  <c r="AJ41" i="36" s="1"/>
  <c r="V44" i="36"/>
  <c r="AJ66" i="36" s="1"/>
  <c r="V50" i="36"/>
  <c r="AJ75" i="36" s="1"/>
  <c r="V67" i="36"/>
  <c r="V57" i="36"/>
  <c r="AJ42" i="36" s="1"/>
  <c r="V37" i="36"/>
  <c r="AJ89" i="36" s="1"/>
  <c r="V61" i="36"/>
  <c r="AJ51" i="36" s="1"/>
  <c r="V58" i="36"/>
  <c r="V38" i="36"/>
  <c r="AJ90" i="36" s="1"/>
  <c r="V48" i="36"/>
  <c r="V62" i="36"/>
  <c r="AJ52" i="36" s="1"/>
  <c r="V59" i="36"/>
  <c r="AJ49" i="36" s="1"/>
  <c r="V39" i="36"/>
  <c r="AJ91" i="36" s="1"/>
  <c r="V63" i="36"/>
  <c r="V52" i="36"/>
  <c r="AJ77" i="36" s="1"/>
  <c r="V40" i="36"/>
  <c r="AJ92" i="36" s="1"/>
  <c r="V64" i="36"/>
  <c r="AJ59" i="36" s="1"/>
  <c r="V45" i="36"/>
  <c r="AJ67" i="36" s="1"/>
  <c r="V46" i="36"/>
  <c r="V72" i="36"/>
  <c r="V74" i="36"/>
  <c r="V69" i="36"/>
  <c r="V41" i="36"/>
  <c r="V70" i="36"/>
  <c r="V42" i="36"/>
  <c r="AJ64" i="36" s="1"/>
  <c r="V36" i="36"/>
  <c r="V54" i="36"/>
  <c r="AJ39" i="36" s="1"/>
  <c r="V65" i="36"/>
  <c r="AJ60" i="36" s="1"/>
  <c r="V60" i="36"/>
  <c r="AJ50" i="36" s="1"/>
  <c r="V71" i="36"/>
  <c r="V66" i="36"/>
  <c r="V47" i="36"/>
  <c r="AJ69" i="36" s="1"/>
  <c r="V43" i="36"/>
  <c r="AJ65" i="36" s="1"/>
  <c r="V73" i="36"/>
  <c r="V53" i="36"/>
  <c r="V49" i="36"/>
  <c r="P16" i="36"/>
  <c r="Q30" i="36"/>
  <c r="Q29" i="36"/>
  <c r="AB34" i="36"/>
  <c r="S34" i="36"/>
  <c r="R34" i="36"/>
  <c r="R33" i="36"/>
  <c r="AB32" i="36"/>
  <c r="AA31" i="36"/>
  <c r="Z30" i="36"/>
  <c r="P19" i="36"/>
  <c r="Y29" i="36"/>
  <c r="P18" i="36"/>
  <c r="X28" i="36"/>
  <c r="W27" i="36"/>
  <c r="P17" i="36"/>
  <c r="Q28" i="36"/>
  <c r="AB33" i="36"/>
  <c r="AA32" i="36"/>
  <c r="Z31" i="36"/>
  <c r="Y30" i="36"/>
  <c r="X29" i="36"/>
  <c r="W28" i="36"/>
  <c r="V27" i="36"/>
  <c r="Z32" i="36"/>
  <c r="X30" i="36"/>
  <c r="V28" i="36"/>
  <c r="P15" i="36"/>
  <c r="AA34" i="36"/>
  <c r="Z33" i="36"/>
  <c r="Y32" i="36"/>
  <c r="X31" i="36"/>
  <c r="W30" i="36"/>
  <c r="V29" i="36"/>
  <c r="U28" i="36"/>
  <c r="T27" i="36"/>
  <c r="U27" i="36"/>
  <c r="P14" i="36"/>
  <c r="Z34" i="36"/>
  <c r="Y33" i="36"/>
  <c r="X32" i="36"/>
  <c r="W31" i="36"/>
  <c r="V30" i="36"/>
  <c r="U29" i="36"/>
  <c r="T28" i="36"/>
  <c r="S27" i="36"/>
  <c r="Y31" i="36"/>
  <c r="W29" i="36"/>
  <c r="P13" i="36"/>
  <c r="Y34" i="36"/>
  <c r="X33" i="36"/>
  <c r="W32" i="36"/>
  <c r="V31" i="36"/>
  <c r="U30" i="36"/>
  <c r="T29" i="36"/>
  <c r="S28" i="36"/>
  <c r="R27" i="36"/>
  <c r="Q27" i="36"/>
  <c r="X34" i="36"/>
  <c r="W33" i="36"/>
  <c r="V32" i="36"/>
  <c r="U31" i="36"/>
  <c r="T30" i="36"/>
  <c r="S29" i="36"/>
  <c r="R28" i="36"/>
  <c r="AA33" i="36"/>
  <c r="Q34" i="36"/>
  <c r="W34" i="36"/>
  <c r="V33" i="36"/>
  <c r="U32" i="36"/>
  <c r="T31" i="36"/>
  <c r="S30" i="36"/>
  <c r="R29" i="36"/>
  <c r="AB27" i="36"/>
  <c r="Q33" i="36"/>
  <c r="V34" i="36"/>
  <c r="U33" i="36"/>
  <c r="T32" i="36"/>
  <c r="S31" i="36"/>
  <c r="R30" i="36"/>
  <c r="AB28" i="36"/>
  <c r="AA27" i="36"/>
  <c r="Q32" i="36"/>
  <c r="T33" i="36"/>
  <c r="R31" i="36"/>
  <c r="AA28" i="36"/>
  <c r="U34" i="36"/>
  <c r="S32" i="36"/>
  <c r="AB29" i="36"/>
  <c r="Z27" i="36"/>
  <c r="P12" i="36"/>
  <c r="Q31" i="36"/>
  <c r="T34" i="36"/>
  <c r="S33" i="36"/>
  <c r="R32" i="36"/>
  <c r="AB30" i="36"/>
  <c r="AA29" i="36"/>
  <c r="Z28" i="36"/>
  <c r="Y27" i="36"/>
  <c r="AB31" i="36"/>
  <c r="AA30" i="36"/>
  <c r="Z29" i="36"/>
  <c r="Y28" i="36"/>
  <c r="G36" i="36"/>
  <c r="AH33" i="36" s="1"/>
  <c r="G56" i="36"/>
  <c r="AH23" i="36" s="1"/>
  <c r="G68" i="36"/>
  <c r="AH80" i="36" s="1"/>
  <c r="G72" i="36"/>
  <c r="AH84" i="36" s="1"/>
  <c r="G47" i="36"/>
  <c r="AH54" i="36" s="1"/>
  <c r="G42" i="36"/>
  <c r="AH44" i="36" s="1"/>
  <c r="G60" i="36"/>
  <c r="AH27" i="36" s="1"/>
  <c r="G41" i="36"/>
  <c r="AH43" i="36" s="1"/>
  <c r="G70" i="36"/>
  <c r="AH82" i="36" s="1"/>
  <c r="G43" i="36"/>
  <c r="AH45" i="36" s="1"/>
  <c r="G71" i="36"/>
  <c r="G61" i="36"/>
  <c r="AH28" i="36" s="1"/>
  <c r="G73" i="36"/>
  <c r="AH85" i="36" s="1"/>
  <c r="G63" i="36"/>
  <c r="AH30" i="36" s="1"/>
  <c r="G53" i="36"/>
  <c r="AH20" i="36" s="1"/>
  <c r="G74" i="36"/>
  <c r="AH86" i="36" s="1"/>
  <c r="G64" i="36"/>
  <c r="AH31" i="36" s="1"/>
  <c r="G54" i="36"/>
  <c r="AH21" i="36" s="1"/>
  <c r="G44" i="36"/>
  <c r="AH46" i="36" s="1"/>
  <c r="G69" i="36"/>
  <c r="AH81" i="36" s="1"/>
  <c r="G51" i="36"/>
  <c r="AH18" i="36" s="1"/>
  <c r="G50" i="36"/>
  <c r="AH57" i="36" s="1"/>
  <c r="G58" i="36"/>
  <c r="AH25" i="36" s="1"/>
  <c r="G48" i="36"/>
  <c r="AH55" i="36" s="1"/>
  <c r="G38" i="36"/>
  <c r="AH35" i="36" s="1"/>
  <c r="G75" i="36"/>
  <c r="AH87" i="36" s="1"/>
  <c r="G66" i="36"/>
  <c r="AH78" i="36" s="1"/>
  <c r="G37" i="36"/>
  <c r="AH34" i="36" s="1"/>
  <c r="G59" i="36"/>
  <c r="AH26" i="36" s="1"/>
  <c r="G49" i="36"/>
  <c r="AH56" i="36" s="1"/>
  <c r="G39" i="36"/>
  <c r="AH36" i="36" s="1"/>
  <c r="G45" i="36"/>
  <c r="AH47" i="36" s="1"/>
  <c r="G57" i="36"/>
  <c r="AH24" i="36" s="1"/>
  <c r="G40" i="36"/>
  <c r="AH37" i="36" s="1"/>
  <c r="G65" i="36"/>
  <c r="AH32" i="36" s="1"/>
  <c r="G67" i="36"/>
  <c r="AH79" i="36" s="1"/>
  <c r="G62" i="36"/>
  <c r="AH29" i="36" s="1"/>
  <c r="G52" i="36"/>
  <c r="AH19" i="36" s="1"/>
  <c r="G55" i="36"/>
  <c r="AH22" i="36" s="1"/>
  <c r="G46" i="36"/>
  <c r="AH53" i="36" s="1"/>
  <c r="T74" i="36" l="1"/>
  <c r="T52" i="36"/>
  <c r="AH77" i="36" s="1"/>
  <c r="T54" i="36"/>
  <c r="AH39" i="36" s="1"/>
  <c r="AI28" i="36"/>
  <c r="W66" i="36"/>
  <c r="W71" i="36"/>
  <c r="AI18" i="36"/>
  <c r="T72" i="36"/>
  <c r="AJ68" i="36"/>
  <c r="W46" i="36"/>
  <c r="T38" i="36"/>
  <c r="AH90" i="36" s="1"/>
  <c r="AJ88" i="36"/>
  <c r="W36" i="36"/>
  <c r="AJ58" i="36"/>
  <c r="W63" i="36"/>
  <c r="T62" i="36"/>
  <c r="AH52" i="36" s="1"/>
  <c r="W53" i="36"/>
  <c r="AJ38" i="36"/>
  <c r="W41" i="36"/>
  <c r="AJ63" i="36"/>
  <c r="AI78" i="36"/>
  <c r="AJ73" i="36"/>
  <c r="W48" i="36"/>
  <c r="AI23" i="36"/>
  <c r="T43" i="36"/>
  <c r="AH65" i="36" s="1"/>
  <c r="W58" i="36"/>
  <c r="AJ48" i="36"/>
  <c r="T66" i="36"/>
  <c r="T63" i="36"/>
  <c r="AH58" i="36" s="1"/>
  <c r="AR56" i="36"/>
  <c r="AP56" i="36"/>
  <c r="AQ56" i="36"/>
  <c r="T41" i="36"/>
  <c r="AH63" i="36" s="1"/>
  <c r="AR55" i="36"/>
  <c r="AQ55" i="36"/>
  <c r="AP55" i="36"/>
  <c r="AQ54" i="36"/>
  <c r="AP54" i="36"/>
  <c r="AR54" i="36"/>
  <c r="AP63" i="36"/>
  <c r="AR63" i="36"/>
  <c r="AQ63" i="36"/>
  <c r="T44" i="36"/>
  <c r="AH66" i="36" s="1"/>
  <c r="T64" i="36"/>
  <c r="AH59" i="36" s="1"/>
  <c r="T73" i="36"/>
  <c r="T75" i="36"/>
  <c r="T60" i="36"/>
  <c r="AH50" i="36" s="1"/>
  <c r="T47" i="36"/>
  <c r="AH69" i="36" s="1"/>
  <c r="T53" i="36"/>
  <c r="AH38" i="36" s="1"/>
  <c r="T57" i="36"/>
  <c r="AH42" i="36" s="1"/>
  <c r="T69" i="36"/>
  <c r="T48" i="36"/>
  <c r="AH73" i="36" s="1"/>
  <c r="T70" i="36"/>
  <c r="T56" i="36"/>
  <c r="AH41" i="36" s="1"/>
  <c r="T51" i="36"/>
  <c r="AH76" i="36" s="1"/>
  <c r="T39" i="36"/>
  <c r="AH91" i="36" s="1"/>
  <c r="T45" i="36"/>
  <c r="AH67" i="36" s="1"/>
  <c r="T42" i="36"/>
  <c r="AH64" i="36" s="1"/>
  <c r="T36" i="36"/>
  <c r="T59" i="36"/>
  <c r="AH49" i="36" s="1"/>
  <c r="T37" i="36"/>
  <c r="AH89" i="36" s="1"/>
  <c r="T46" i="36"/>
  <c r="T67" i="36"/>
  <c r="T68" i="36"/>
  <c r="T55" i="36"/>
  <c r="AH40" i="36" s="1"/>
  <c r="T61" i="36"/>
  <c r="AH51" i="36" s="1"/>
  <c r="T40" i="36"/>
  <c r="AH92" i="36" s="1"/>
  <c r="T65" i="36"/>
  <c r="T58" i="36"/>
  <c r="AH48" i="36" s="1"/>
  <c r="T49" i="36"/>
  <c r="T71" i="36"/>
  <c r="T50" i="36"/>
  <c r="AH75" i="36" s="1"/>
  <c r="H71" i="36"/>
  <c r="H61" i="36"/>
  <c r="AH83" i="36"/>
  <c r="H66" i="36"/>
  <c r="H56" i="36"/>
  <c r="H41" i="36"/>
  <c r="H46" i="36"/>
  <c r="H51" i="36"/>
  <c r="H36" i="36"/>
  <c r="AQ32" i="36"/>
  <c r="AQ31" i="36"/>
  <c r="AQ30" i="36"/>
  <c r="AP75" i="36" l="1"/>
  <c r="AR75" i="36"/>
  <c r="AQ75" i="36"/>
  <c r="AP74" i="36"/>
  <c r="AR74" i="36"/>
  <c r="AQ74" i="36"/>
  <c r="AP78" i="36"/>
  <c r="AR78" i="36"/>
  <c r="AQ78" i="36"/>
  <c r="AP73" i="36"/>
  <c r="AR73" i="36"/>
  <c r="AP70" i="36"/>
  <c r="AR70" i="36"/>
  <c r="AQ70" i="36"/>
  <c r="AQ73" i="36"/>
  <c r="AP71" i="36"/>
  <c r="AR71" i="36"/>
  <c r="AQ71" i="36"/>
  <c r="AP72" i="36"/>
  <c r="AR72" i="36"/>
  <c r="AQ72" i="36"/>
  <c r="AI73" i="36"/>
  <c r="AI33" i="36"/>
  <c r="AS44" i="36"/>
  <c r="AK88" i="36"/>
  <c r="AS38" i="36"/>
  <c r="AS50" i="36"/>
  <c r="AS43" i="36"/>
  <c r="AK73" i="36"/>
  <c r="AS47" i="36"/>
  <c r="AS29" i="36"/>
  <c r="AK53" i="36"/>
  <c r="AS41" i="36"/>
  <c r="AK68" i="36"/>
  <c r="AS37" i="36"/>
  <c r="AS46" i="36"/>
  <c r="AK43" i="36"/>
  <c r="AS49" i="36"/>
  <c r="AS35" i="36"/>
  <c r="AS28" i="36"/>
  <c r="AS40" i="36"/>
  <c r="AK63" i="36"/>
  <c r="AS39" i="36"/>
  <c r="AS36" i="36"/>
  <c r="AS45" i="36"/>
  <c r="AI43" i="36"/>
  <c r="AS34" i="36"/>
  <c r="AS27" i="36"/>
  <c r="AS33" i="36"/>
  <c r="AS48" i="36"/>
  <c r="AK33" i="36"/>
  <c r="AQ42" i="36"/>
  <c r="AI83" i="36"/>
  <c r="AQ45" i="36"/>
  <c r="AI63" i="36"/>
  <c r="AQ33" i="36"/>
  <c r="AQ58" i="36"/>
  <c r="AQ47" i="36"/>
  <c r="AQ49" i="36"/>
  <c r="AQ57" i="36"/>
  <c r="AR58" i="36"/>
  <c r="U71" i="36"/>
  <c r="AQ27" i="36"/>
  <c r="AP60" i="36"/>
  <c r="AQ36" i="36"/>
  <c r="AR60" i="36"/>
  <c r="AQ40" i="36"/>
  <c r="AR57" i="36"/>
  <c r="AP57" i="36"/>
  <c r="AP58" i="36"/>
  <c r="AQ48" i="36"/>
  <c r="AQ28" i="36"/>
  <c r="AP64" i="36"/>
  <c r="AQ64" i="36"/>
  <c r="AR64" i="36"/>
  <c r="AP62" i="36"/>
  <c r="AQ62" i="36"/>
  <c r="AR62" i="36"/>
  <c r="U66" i="36"/>
  <c r="U63" i="36"/>
  <c r="AH60" i="36"/>
  <c r="AI53" i="36" s="1"/>
  <c r="U48" i="36"/>
  <c r="U53" i="36"/>
  <c r="AH68" i="36"/>
  <c r="U46" i="36"/>
  <c r="U36" i="36"/>
  <c r="AH88" i="36"/>
  <c r="U41" i="36"/>
  <c r="U58" i="36"/>
  <c r="AQ60" i="36" l="1"/>
  <c r="AQ39" i="36"/>
  <c r="AI68" i="36"/>
  <c r="AQ44" i="36"/>
  <c r="AI88" i="36"/>
  <c r="AQ34" i="36"/>
  <c r="AQ59" i="36"/>
  <c r="AP59" i="36"/>
  <c r="AR59" i="36"/>
  <c r="AR61" i="36"/>
  <c r="AP61" i="36"/>
  <c r="AQ61" i="36"/>
  <c r="AQ41" i="36"/>
  <c r="AQ46" i="36"/>
  <c r="AR65" i="36"/>
  <c r="AP65" i="36"/>
  <c r="AQ50" i="36"/>
  <c r="AQ38" i="36"/>
  <c r="AQ65" i="36"/>
  <c r="AQ43" i="36"/>
  <c r="AQ35" i="36"/>
  <c r="AQ37" i="36"/>
  <c r="AQ29" i="36"/>
  <c r="CV7" i="17"/>
  <c r="CY7" i="17"/>
  <c r="DB7" i="17"/>
  <c r="DE7" i="17"/>
  <c r="CW7" i="17"/>
  <c r="CZ7" i="17"/>
  <c r="DC7" i="17"/>
  <c r="DF7" i="17"/>
  <c r="CX7" i="17"/>
  <c r="DA7" i="17"/>
  <c r="DD7" i="17"/>
  <c r="DG7" i="17"/>
  <c r="CU7" i="17"/>
  <c r="CT7" i="17"/>
  <c r="CS7" i="17"/>
  <c r="CV8" i="17"/>
  <c r="CY8" i="17"/>
  <c r="DB8" i="17"/>
  <c r="DE8" i="17"/>
  <c r="CW8" i="17"/>
  <c r="CZ8" i="17"/>
  <c r="DC8" i="17"/>
  <c r="DF8" i="17"/>
  <c r="CX8" i="17"/>
  <c r="DA8" i="17"/>
  <c r="DD8" i="17"/>
  <c r="DG8" i="17"/>
  <c r="CU8" i="17"/>
  <c r="CT8" i="17"/>
  <c r="CS8" i="17"/>
  <c r="CV10" i="17"/>
  <c r="CY10" i="17"/>
  <c r="DB10" i="17"/>
  <c r="DE10" i="17"/>
  <c r="CW10" i="17"/>
  <c r="CZ10" i="17"/>
  <c r="DC10" i="17"/>
  <c r="DF10" i="17"/>
  <c r="CX10" i="17"/>
  <c r="DA10" i="17"/>
  <c r="DD10" i="17"/>
  <c r="DG10" i="17"/>
  <c r="CU10" i="17"/>
  <c r="CT10" i="17"/>
  <c r="CS10" i="17"/>
  <c r="CV4" i="17"/>
  <c r="CY4" i="17"/>
  <c r="DB4" i="17"/>
  <c r="DE4" i="17"/>
  <c r="CW4" i="17"/>
  <c r="CZ4" i="17"/>
  <c r="DC4" i="17"/>
  <c r="DF4" i="17"/>
  <c r="CX4" i="17"/>
  <c r="DA4" i="17"/>
  <c r="DD4" i="17"/>
  <c r="DG4" i="17"/>
  <c r="CU4" i="17"/>
  <c r="CT4" i="17"/>
  <c r="CS4" i="17"/>
  <c r="CV11" i="17"/>
  <c r="CY11" i="17"/>
  <c r="DB11" i="17"/>
  <c r="DE11" i="17"/>
  <c r="CW11" i="17"/>
  <c r="CZ11" i="17"/>
  <c r="DC11" i="17"/>
  <c r="DF11" i="17"/>
  <c r="CX11" i="17"/>
  <c r="DA11" i="17"/>
  <c r="DD11" i="17"/>
  <c r="DG11" i="17"/>
  <c r="CU11" i="17"/>
  <c r="CT11" i="17"/>
  <c r="CS11" i="17"/>
  <c r="CV6" i="17"/>
  <c r="CY6" i="17"/>
  <c r="DB6" i="17"/>
  <c r="DE6" i="17"/>
  <c r="CW6" i="17"/>
  <c r="CZ6" i="17"/>
  <c r="DC6" i="17"/>
  <c r="DF6" i="17"/>
  <c r="CX6" i="17"/>
  <c r="DA6" i="17"/>
  <c r="DD6" i="17"/>
  <c r="DG6" i="17"/>
  <c r="CU6" i="17"/>
  <c r="CT6" i="17"/>
  <c r="CS6" i="17"/>
  <c r="Q14" i="35" l="1"/>
  <c r="R14" i="35"/>
  <c r="S14" i="35"/>
  <c r="T14" i="35"/>
  <c r="Q15" i="35"/>
  <c r="R15" i="35"/>
  <c r="S15" i="35"/>
  <c r="T15" i="35"/>
  <c r="Q16" i="35"/>
  <c r="R16" i="35"/>
  <c r="S16" i="35"/>
  <c r="T16" i="35"/>
  <c r="Q17" i="35"/>
  <c r="R17" i="35"/>
  <c r="S17" i="35"/>
  <c r="T17" i="35"/>
  <c r="Q18" i="35"/>
  <c r="R18" i="35"/>
  <c r="S18" i="35"/>
  <c r="T18" i="35"/>
  <c r="Q19" i="35"/>
  <c r="R19" i="35"/>
  <c r="S19" i="35"/>
  <c r="T19" i="35"/>
  <c r="Q20" i="35"/>
  <c r="R20" i="35"/>
  <c r="S20" i="35"/>
  <c r="T20" i="35"/>
  <c r="P20" i="35"/>
  <c r="P19" i="35"/>
  <c r="P18" i="35"/>
  <c r="P17" i="35"/>
  <c r="P16" i="35"/>
  <c r="P15" i="35"/>
  <c r="P14" i="35"/>
  <c r="Q5" i="35"/>
  <c r="R5" i="35"/>
  <c r="S5" i="35"/>
  <c r="T5" i="35"/>
  <c r="Q7" i="35"/>
  <c r="R7" i="35"/>
  <c r="S7" i="35"/>
  <c r="T7" i="35"/>
  <c r="Q8" i="35"/>
  <c r="R8" i="35"/>
  <c r="S8" i="35"/>
  <c r="T8" i="35"/>
  <c r="Q9" i="35"/>
  <c r="R9" i="35"/>
  <c r="S9" i="35"/>
  <c r="T9" i="35"/>
  <c r="Q10" i="35"/>
  <c r="R10" i="35"/>
  <c r="S10" i="35"/>
  <c r="T10" i="35"/>
  <c r="P10" i="35"/>
  <c r="P9" i="35"/>
  <c r="P8" i="35"/>
  <c r="P7" i="35"/>
  <c r="P5" i="35"/>
  <c r="Q6" i="35"/>
  <c r="R6" i="35"/>
  <c r="S6" i="35"/>
  <c r="T6" i="35"/>
  <c r="P6" i="35"/>
  <c r="CK98" i="33"/>
  <c r="CK97" i="33"/>
  <c r="CK96" i="33"/>
  <c r="CK95" i="33"/>
  <c r="CK94" i="33"/>
  <c r="CK93" i="33"/>
  <c r="CK92" i="33"/>
  <c r="CK91" i="33"/>
  <c r="CK90" i="33"/>
  <c r="CK89" i="33"/>
  <c r="CK88" i="33"/>
  <c r="CK87" i="33"/>
  <c r="CK86" i="33"/>
  <c r="CK85" i="33"/>
  <c r="CK84" i="33"/>
  <c r="CK83" i="33"/>
  <c r="CK82" i="33"/>
  <c r="CK81" i="33"/>
  <c r="CK80" i="33"/>
  <c r="CK79" i="33"/>
  <c r="CK78" i="33"/>
  <c r="CK77" i="33"/>
  <c r="CK76" i="33"/>
  <c r="CK75" i="33"/>
  <c r="CK74" i="33"/>
  <c r="CK73" i="33"/>
  <c r="CK72" i="33"/>
  <c r="CK71" i="33"/>
  <c r="CK70" i="33"/>
  <c r="CK69" i="33"/>
  <c r="CK68" i="33"/>
  <c r="CK67" i="33"/>
  <c r="CK66" i="33"/>
  <c r="CK65" i="33"/>
  <c r="CK64" i="33"/>
  <c r="CK63" i="33"/>
  <c r="CK62" i="33"/>
  <c r="CK61" i="33"/>
  <c r="CK60" i="33"/>
  <c r="CK59" i="33"/>
  <c r="CK58" i="33"/>
  <c r="CK57" i="33"/>
  <c r="CK56" i="33"/>
  <c r="CK55" i="33"/>
  <c r="CK54" i="33"/>
  <c r="CK53" i="33"/>
  <c r="CK52" i="33"/>
  <c r="CK51" i="33"/>
  <c r="CK50" i="33"/>
  <c r="CK49" i="33"/>
  <c r="CK48" i="33"/>
  <c r="CK47" i="33"/>
  <c r="CK46" i="33"/>
  <c r="CK45" i="33"/>
  <c r="CK44" i="33"/>
  <c r="CK43" i="33"/>
  <c r="CK42" i="33"/>
  <c r="CK41" i="33"/>
  <c r="CK40" i="33"/>
  <c r="CK39" i="33"/>
  <c r="CK38" i="33"/>
  <c r="CK37" i="33"/>
  <c r="CK36" i="33"/>
  <c r="CK35" i="33"/>
  <c r="CK34" i="33"/>
  <c r="CK33" i="33"/>
  <c r="CK32" i="33"/>
  <c r="CK31" i="33"/>
  <c r="CK30" i="33"/>
  <c r="CK29" i="33"/>
  <c r="CK28" i="33"/>
  <c r="CK27" i="33"/>
  <c r="CK26" i="33"/>
  <c r="CK25" i="33"/>
  <c r="CK24" i="33"/>
  <c r="CK23" i="33"/>
  <c r="CK22" i="33"/>
  <c r="CK21" i="33"/>
  <c r="CK20" i="33"/>
  <c r="CK19" i="33"/>
  <c r="CK18" i="33"/>
  <c r="CK17" i="33"/>
  <c r="CK16" i="33"/>
  <c r="CK15" i="33"/>
  <c r="CK14" i="33"/>
  <c r="CK13" i="33"/>
  <c r="CK12" i="33"/>
  <c r="CK11" i="33"/>
  <c r="CK10" i="33"/>
  <c r="CK9" i="33"/>
  <c r="CK8" i="33"/>
  <c r="CL20" i="33" s="1"/>
  <c r="CK7" i="33"/>
  <c r="CL55" i="33" s="1"/>
  <c r="CK6" i="33"/>
  <c r="CK5" i="33"/>
  <c r="CL53" i="33" s="1"/>
  <c r="CK4" i="33"/>
  <c r="CK3" i="33"/>
  <c r="CE98" i="33"/>
  <c r="CE97" i="33"/>
  <c r="CE96" i="33"/>
  <c r="CE95" i="33"/>
  <c r="CE94" i="33"/>
  <c r="CE93" i="33"/>
  <c r="CE92" i="33"/>
  <c r="CE91" i="33"/>
  <c r="CE90" i="33"/>
  <c r="CE89" i="33"/>
  <c r="CE88" i="33"/>
  <c r="CE87" i="33"/>
  <c r="CE86" i="33"/>
  <c r="CE85" i="33"/>
  <c r="CE84" i="33"/>
  <c r="CE83" i="33"/>
  <c r="CE82" i="33"/>
  <c r="CE81" i="33"/>
  <c r="CE80" i="33"/>
  <c r="CE79" i="33"/>
  <c r="CE78" i="33"/>
  <c r="CE77" i="33"/>
  <c r="CE76" i="33"/>
  <c r="CE75" i="33"/>
  <c r="CE74" i="33"/>
  <c r="CE73" i="33"/>
  <c r="CE72" i="33"/>
  <c r="CE71" i="33"/>
  <c r="CE70" i="33"/>
  <c r="CE69" i="33"/>
  <c r="CE68" i="33"/>
  <c r="CE67" i="33"/>
  <c r="CE66" i="33"/>
  <c r="CE65" i="33"/>
  <c r="CE64" i="33"/>
  <c r="CE63" i="33"/>
  <c r="CE62" i="33"/>
  <c r="CE61" i="33"/>
  <c r="CE60" i="33"/>
  <c r="CE59" i="33"/>
  <c r="CE58" i="33"/>
  <c r="CE57" i="33"/>
  <c r="CE56" i="33"/>
  <c r="CE55" i="33"/>
  <c r="CE54" i="33"/>
  <c r="CE53" i="33"/>
  <c r="CE52" i="33"/>
  <c r="CE51" i="33"/>
  <c r="CE50" i="33"/>
  <c r="CE49" i="33"/>
  <c r="CE48" i="33"/>
  <c r="CE47" i="33"/>
  <c r="CE46" i="33"/>
  <c r="CE45" i="33"/>
  <c r="CE44" i="33"/>
  <c r="CE43" i="33"/>
  <c r="CE42" i="33"/>
  <c r="CE41" i="33"/>
  <c r="CE40" i="33"/>
  <c r="CE39" i="33"/>
  <c r="CE38" i="33"/>
  <c r="CE37" i="33"/>
  <c r="CE36" i="33"/>
  <c r="CE35" i="33"/>
  <c r="CE34" i="33"/>
  <c r="CE33" i="33"/>
  <c r="CE32" i="33"/>
  <c r="CE31" i="33"/>
  <c r="CE30" i="33"/>
  <c r="CE29" i="33"/>
  <c r="CE28" i="33"/>
  <c r="CE27" i="33"/>
  <c r="CE26" i="33"/>
  <c r="CE25" i="33"/>
  <c r="CE24" i="33"/>
  <c r="CE23" i="33"/>
  <c r="CE22" i="33"/>
  <c r="CE21" i="33"/>
  <c r="CE20" i="33"/>
  <c r="CE19" i="33"/>
  <c r="CE18" i="33"/>
  <c r="CE17" i="33"/>
  <c r="CE16" i="33"/>
  <c r="CE15" i="33"/>
  <c r="CE14" i="33"/>
  <c r="CE13" i="33"/>
  <c r="CF61" i="33" s="1"/>
  <c r="CE12" i="33"/>
  <c r="CE11" i="33"/>
  <c r="CE10" i="33"/>
  <c r="CF46" i="33" s="1"/>
  <c r="CE9" i="33"/>
  <c r="CE8" i="33"/>
  <c r="CE7" i="33"/>
  <c r="CE6" i="33"/>
  <c r="CE5" i="33"/>
  <c r="CE4" i="33"/>
  <c r="CE3" i="33"/>
  <c r="BY98" i="33"/>
  <c r="BY97" i="33"/>
  <c r="BY96" i="33"/>
  <c r="BY95" i="33"/>
  <c r="BY94" i="33"/>
  <c r="BY93" i="33"/>
  <c r="BY92" i="33"/>
  <c r="BY91" i="33"/>
  <c r="BY90" i="33"/>
  <c r="BY89" i="33"/>
  <c r="BY88" i="33"/>
  <c r="BY87" i="33"/>
  <c r="BY86" i="33"/>
  <c r="BY85" i="33"/>
  <c r="BY84" i="33"/>
  <c r="BY83" i="33"/>
  <c r="BY82" i="33"/>
  <c r="BY81" i="33"/>
  <c r="BY80" i="33"/>
  <c r="BY79" i="33"/>
  <c r="BY78" i="33"/>
  <c r="BY77" i="33"/>
  <c r="BY76" i="33"/>
  <c r="BY75" i="33"/>
  <c r="BY74" i="33"/>
  <c r="BY73" i="33"/>
  <c r="BY72" i="33"/>
  <c r="BY71" i="33"/>
  <c r="BY70" i="33"/>
  <c r="BY69" i="33"/>
  <c r="BY68" i="33"/>
  <c r="BY67" i="33"/>
  <c r="BY66" i="33"/>
  <c r="BY65" i="33"/>
  <c r="BY64" i="33"/>
  <c r="BY63" i="33"/>
  <c r="BY62" i="33"/>
  <c r="BY61" i="33"/>
  <c r="BY60" i="33"/>
  <c r="BY59" i="33"/>
  <c r="BY58" i="33"/>
  <c r="BY57" i="33"/>
  <c r="BY56" i="33"/>
  <c r="BY55" i="33"/>
  <c r="BY54" i="33"/>
  <c r="BY53" i="33"/>
  <c r="BY52" i="33"/>
  <c r="BY51" i="33"/>
  <c r="BY50" i="33"/>
  <c r="BY49" i="33"/>
  <c r="BY48" i="33"/>
  <c r="BY47" i="33"/>
  <c r="BY46" i="33"/>
  <c r="BY45" i="33"/>
  <c r="BY44" i="33"/>
  <c r="BY43" i="33"/>
  <c r="BY42" i="33"/>
  <c r="BY41" i="33"/>
  <c r="BY40" i="33"/>
  <c r="BY39" i="33"/>
  <c r="BY38" i="33"/>
  <c r="BY37" i="33"/>
  <c r="BY36" i="33"/>
  <c r="BY35" i="33"/>
  <c r="BY34" i="33"/>
  <c r="BY33" i="33"/>
  <c r="BY32" i="33"/>
  <c r="BY31" i="33"/>
  <c r="BY30" i="33"/>
  <c r="BY29" i="33"/>
  <c r="BY28" i="33"/>
  <c r="BY27" i="33"/>
  <c r="BY26" i="33"/>
  <c r="BY25" i="33"/>
  <c r="BY24" i="33"/>
  <c r="BY23" i="33"/>
  <c r="BY22" i="33"/>
  <c r="BY21" i="33"/>
  <c r="BY20" i="33"/>
  <c r="BY19" i="33"/>
  <c r="BY18" i="33"/>
  <c r="BY17" i="33"/>
  <c r="BY16" i="33"/>
  <c r="BY15" i="33"/>
  <c r="BY14" i="33"/>
  <c r="BY13" i="33"/>
  <c r="BY12" i="33"/>
  <c r="BZ24" i="33" s="1"/>
  <c r="CA23" i="33" s="1"/>
  <c r="BY11" i="33"/>
  <c r="BY10" i="33"/>
  <c r="BY9" i="33"/>
  <c r="BY8" i="33"/>
  <c r="BY7" i="33"/>
  <c r="BZ19" i="33" s="1"/>
  <c r="CA19" i="33" s="1"/>
  <c r="BY6" i="33"/>
  <c r="BY5" i="33"/>
  <c r="BZ77" i="33" s="1"/>
  <c r="CA77" i="33" s="1"/>
  <c r="BY4" i="33"/>
  <c r="BY3" i="33"/>
  <c r="BS98" i="33"/>
  <c r="BS97" i="33"/>
  <c r="BS96" i="33"/>
  <c r="BS95" i="33"/>
  <c r="BS94" i="33"/>
  <c r="BS93" i="33"/>
  <c r="BS92" i="33"/>
  <c r="BS91" i="33"/>
  <c r="BS90" i="33"/>
  <c r="BS89" i="33"/>
  <c r="BS88" i="33"/>
  <c r="BS87" i="33"/>
  <c r="BS86" i="33"/>
  <c r="BS85" i="33"/>
  <c r="BS84" i="33"/>
  <c r="BS83" i="33"/>
  <c r="BS82" i="33"/>
  <c r="BS81" i="33"/>
  <c r="BS80" i="33"/>
  <c r="BS79" i="33"/>
  <c r="BS78" i="33"/>
  <c r="BS77" i="33"/>
  <c r="BS76" i="33"/>
  <c r="BS75" i="33"/>
  <c r="BS74" i="33"/>
  <c r="BS73" i="33"/>
  <c r="BS72" i="33"/>
  <c r="BS71" i="33"/>
  <c r="BS70" i="33"/>
  <c r="BS69" i="33"/>
  <c r="BS68" i="33"/>
  <c r="BS67" i="33"/>
  <c r="BS66" i="33"/>
  <c r="BS65" i="33"/>
  <c r="BS64" i="33"/>
  <c r="BS63" i="33"/>
  <c r="BS62" i="33"/>
  <c r="BS61" i="33"/>
  <c r="BS60" i="33"/>
  <c r="BS59" i="33"/>
  <c r="BS58" i="33"/>
  <c r="BS57" i="33"/>
  <c r="BS56" i="33"/>
  <c r="BS55" i="33"/>
  <c r="BS54" i="33"/>
  <c r="BS53" i="33"/>
  <c r="BS52" i="33"/>
  <c r="BS51" i="33"/>
  <c r="BS50" i="33"/>
  <c r="BS49" i="33"/>
  <c r="BS48" i="33"/>
  <c r="BS47" i="33"/>
  <c r="BS46" i="33"/>
  <c r="BS45" i="33"/>
  <c r="BS44" i="33"/>
  <c r="BS43" i="33"/>
  <c r="BS42" i="33"/>
  <c r="BS41" i="33"/>
  <c r="BS40" i="33"/>
  <c r="BS39" i="33"/>
  <c r="BS38" i="33"/>
  <c r="BS37" i="33"/>
  <c r="BS36" i="33"/>
  <c r="BS35" i="33"/>
  <c r="BS34" i="33"/>
  <c r="BS33" i="33"/>
  <c r="BS32" i="33"/>
  <c r="BS31" i="33"/>
  <c r="BS30" i="33"/>
  <c r="BS29" i="33"/>
  <c r="BS28" i="33"/>
  <c r="BS27" i="33"/>
  <c r="BS26" i="33"/>
  <c r="BS25" i="33"/>
  <c r="BS24" i="33"/>
  <c r="BS23" i="33"/>
  <c r="BS22" i="33"/>
  <c r="BS21" i="33"/>
  <c r="BS20" i="33"/>
  <c r="BS19" i="33"/>
  <c r="BS18" i="33"/>
  <c r="BS17" i="33"/>
  <c r="BS16" i="33"/>
  <c r="BS15" i="33"/>
  <c r="BS14" i="33"/>
  <c r="BS13" i="33"/>
  <c r="BS12" i="33"/>
  <c r="BS11" i="33"/>
  <c r="BS10" i="33"/>
  <c r="BS9" i="33"/>
  <c r="BS8" i="33"/>
  <c r="BS7" i="33"/>
  <c r="BS6" i="33"/>
  <c r="BT54" i="33" s="1"/>
  <c r="BS5" i="33"/>
  <c r="BS4" i="33"/>
  <c r="BS3" i="33"/>
  <c r="BM98" i="33"/>
  <c r="BM97" i="33"/>
  <c r="BM96" i="33"/>
  <c r="BM95" i="33"/>
  <c r="BM94" i="33"/>
  <c r="BM93" i="33"/>
  <c r="BM92" i="33"/>
  <c r="BM91" i="33"/>
  <c r="BM90" i="33"/>
  <c r="BM89" i="33"/>
  <c r="BM88" i="33"/>
  <c r="BM87" i="33"/>
  <c r="BM86" i="33"/>
  <c r="BM85" i="33"/>
  <c r="BM84" i="33"/>
  <c r="BM83" i="33"/>
  <c r="BM82" i="33"/>
  <c r="BM81" i="33"/>
  <c r="BM80" i="33"/>
  <c r="BM79" i="33"/>
  <c r="BM78" i="33"/>
  <c r="BM77" i="33"/>
  <c r="BM76" i="33"/>
  <c r="BM75" i="33"/>
  <c r="BM74" i="33"/>
  <c r="BM73" i="33"/>
  <c r="BM72" i="33"/>
  <c r="BM71" i="33"/>
  <c r="BM70" i="33"/>
  <c r="BM69" i="33"/>
  <c r="BM68" i="33"/>
  <c r="BM67" i="33"/>
  <c r="BM66" i="33"/>
  <c r="BM65" i="33"/>
  <c r="BM64" i="33"/>
  <c r="BM63" i="33"/>
  <c r="BM62" i="33"/>
  <c r="BM61" i="33"/>
  <c r="BM60" i="33"/>
  <c r="BM59" i="33"/>
  <c r="BM58" i="33"/>
  <c r="BM57" i="33"/>
  <c r="BM56" i="33"/>
  <c r="BM55" i="33"/>
  <c r="BM54" i="33"/>
  <c r="BM53" i="33"/>
  <c r="BM52" i="33"/>
  <c r="BM51" i="33"/>
  <c r="BM50" i="33"/>
  <c r="BM49" i="33"/>
  <c r="BM48" i="33"/>
  <c r="BM47" i="33"/>
  <c r="BM46" i="33"/>
  <c r="BM45" i="33"/>
  <c r="BM44" i="33"/>
  <c r="BM43" i="33"/>
  <c r="BM42" i="33"/>
  <c r="BM41" i="33"/>
  <c r="BM40" i="33"/>
  <c r="BM39" i="33"/>
  <c r="BM38" i="33"/>
  <c r="BM37" i="33"/>
  <c r="BM36" i="33"/>
  <c r="BM35" i="33"/>
  <c r="BM34" i="33"/>
  <c r="BM33" i="33"/>
  <c r="BM32" i="33"/>
  <c r="BM31" i="33"/>
  <c r="BM30" i="33"/>
  <c r="BM29" i="33"/>
  <c r="BM28" i="33"/>
  <c r="BM27" i="33"/>
  <c r="BM26" i="33"/>
  <c r="BM25" i="33"/>
  <c r="BM24" i="33"/>
  <c r="BM23" i="33"/>
  <c r="BM22" i="33"/>
  <c r="BM21" i="33"/>
  <c r="BM20" i="33"/>
  <c r="BM19" i="33"/>
  <c r="BM18" i="33"/>
  <c r="BM17" i="33"/>
  <c r="BM16" i="33"/>
  <c r="BM15" i="33"/>
  <c r="BM14" i="33"/>
  <c r="BM13" i="33"/>
  <c r="BM12" i="33"/>
  <c r="BM11" i="33"/>
  <c r="BM10" i="33"/>
  <c r="BM9" i="33"/>
  <c r="BM8" i="33"/>
  <c r="BM7" i="33"/>
  <c r="BM6" i="33"/>
  <c r="BM5" i="33"/>
  <c r="BM4" i="33"/>
  <c r="BM3" i="33"/>
  <c r="Y57" i="34"/>
  <c r="X57" i="34"/>
  <c r="W57" i="34"/>
  <c r="V57" i="34"/>
  <c r="U57" i="34"/>
  <c r="T57" i="34"/>
  <c r="S57" i="34"/>
  <c r="Y49" i="34"/>
  <c r="X49" i="34"/>
  <c r="W49" i="34"/>
  <c r="V49" i="34"/>
  <c r="U49" i="34"/>
  <c r="T49" i="34"/>
  <c r="S49" i="34"/>
  <c r="Y40" i="34"/>
  <c r="AF47" i="34" s="1"/>
  <c r="X40" i="34"/>
  <c r="AE43" i="34" s="1"/>
  <c r="W40" i="34"/>
  <c r="AD44" i="34" s="1"/>
  <c r="V40" i="34"/>
  <c r="AC56" i="34" s="1"/>
  <c r="U40" i="34"/>
  <c r="AB55" i="34" s="1"/>
  <c r="T40" i="34"/>
  <c r="AA39" i="34" s="1"/>
  <c r="S40" i="34"/>
  <c r="Z45" i="34" s="1"/>
  <c r="Y30" i="34"/>
  <c r="X30" i="34"/>
  <c r="W30" i="34"/>
  <c r="V30" i="34"/>
  <c r="U30" i="34"/>
  <c r="T30" i="34"/>
  <c r="S30" i="34"/>
  <c r="Y21" i="34"/>
  <c r="X21" i="34"/>
  <c r="W21" i="34"/>
  <c r="V21" i="34"/>
  <c r="U21" i="34"/>
  <c r="T21" i="34"/>
  <c r="S21" i="34"/>
  <c r="Y10" i="34"/>
  <c r="X10" i="34"/>
  <c r="AE19" i="34" s="1"/>
  <c r="W10" i="34"/>
  <c r="AD27" i="34" s="1"/>
  <c r="V10" i="34"/>
  <c r="AC29" i="34" s="1"/>
  <c r="U10" i="34"/>
  <c r="AB29" i="34" s="1"/>
  <c r="T10" i="34"/>
  <c r="AA24" i="34" s="1"/>
  <c r="S10" i="34"/>
  <c r="Z16" i="34" s="1"/>
  <c r="BG98" i="33"/>
  <c r="BG97" i="33"/>
  <c r="BG96" i="33"/>
  <c r="BG95" i="33"/>
  <c r="BG94" i="33"/>
  <c r="BG93" i="33"/>
  <c r="BG92" i="33"/>
  <c r="BG91" i="33"/>
  <c r="BG90" i="33"/>
  <c r="BG89" i="33"/>
  <c r="BG88" i="33"/>
  <c r="BG87" i="33"/>
  <c r="BG86" i="33"/>
  <c r="BG85" i="33"/>
  <c r="BG84" i="33"/>
  <c r="BG83" i="33"/>
  <c r="BG82" i="33"/>
  <c r="BG81" i="33"/>
  <c r="BG80" i="33"/>
  <c r="BG79" i="33"/>
  <c r="BG78" i="33"/>
  <c r="BG77" i="33"/>
  <c r="BG76" i="33"/>
  <c r="BG75" i="33"/>
  <c r="BG74" i="33"/>
  <c r="BG73" i="33"/>
  <c r="BG72" i="33"/>
  <c r="BG71" i="33"/>
  <c r="BG70" i="33"/>
  <c r="BG69" i="33"/>
  <c r="BG68" i="33"/>
  <c r="BG67" i="33"/>
  <c r="BG66" i="33"/>
  <c r="BG65" i="33"/>
  <c r="BG64" i="33"/>
  <c r="BG63" i="33"/>
  <c r="BG62" i="33"/>
  <c r="BG61" i="33"/>
  <c r="BG60" i="33"/>
  <c r="BG59" i="33"/>
  <c r="BG58" i="33"/>
  <c r="BG57" i="33"/>
  <c r="BG56" i="33"/>
  <c r="BG55" i="33"/>
  <c r="BG54" i="33"/>
  <c r="BG53" i="33"/>
  <c r="BG52" i="33"/>
  <c r="BG51" i="33"/>
  <c r="BG50" i="33"/>
  <c r="BG49" i="33"/>
  <c r="BG48" i="33"/>
  <c r="BG47" i="33"/>
  <c r="BG46" i="33"/>
  <c r="BG45" i="33"/>
  <c r="BG44" i="33"/>
  <c r="BG43" i="33"/>
  <c r="BG42" i="33"/>
  <c r="BG41" i="33"/>
  <c r="BG40" i="33"/>
  <c r="BG39" i="33"/>
  <c r="BG38" i="33"/>
  <c r="BG37" i="33"/>
  <c r="BG36" i="33"/>
  <c r="BG35" i="33"/>
  <c r="BG34" i="33"/>
  <c r="BG33" i="33"/>
  <c r="BG32" i="33"/>
  <c r="BG31" i="33"/>
  <c r="BG30" i="33"/>
  <c r="BG29" i="33"/>
  <c r="BG28" i="33"/>
  <c r="BG27" i="33"/>
  <c r="BG26" i="33"/>
  <c r="BG25" i="33"/>
  <c r="BG24" i="33"/>
  <c r="BG23" i="33"/>
  <c r="BG22" i="33"/>
  <c r="BG21" i="33"/>
  <c r="BG20" i="33"/>
  <c r="BG19" i="33"/>
  <c r="BG18" i="33"/>
  <c r="BG17" i="33"/>
  <c r="BG16" i="33"/>
  <c r="BG15" i="33"/>
  <c r="BG14" i="33"/>
  <c r="BG13" i="33"/>
  <c r="BG12" i="33"/>
  <c r="BG11" i="33"/>
  <c r="BG10" i="33"/>
  <c r="BG9" i="33"/>
  <c r="BH93" i="33" s="1"/>
  <c r="BG8" i="33"/>
  <c r="BG7" i="33"/>
  <c r="BG6" i="33"/>
  <c r="BG5" i="33"/>
  <c r="BG4" i="33"/>
  <c r="BG3" i="33"/>
  <c r="BH39" i="33" s="1"/>
  <c r="BA98" i="33"/>
  <c r="BA97" i="33"/>
  <c r="BA96" i="33"/>
  <c r="BA95" i="33"/>
  <c r="BA94" i="33"/>
  <c r="BA93" i="33"/>
  <c r="BA92" i="33"/>
  <c r="BA91" i="33"/>
  <c r="BA90" i="33"/>
  <c r="BA89" i="33"/>
  <c r="BA88" i="33"/>
  <c r="BA87" i="33"/>
  <c r="BA86" i="33"/>
  <c r="BA85" i="33"/>
  <c r="BA84" i="33"/>
  <c r="BA83" i="33"/>
  <c r="BA82" i="33"/>
  <c r="BA81" i="33"/>
  <c r="BA80" i="33"/>
  <c r="BA79" i="33"/>
  <c r="BA78" i="33"/>
  <c r="BA77" i="33"/>
  <c r="BA76" i="33"/>
  <c r="BA75" i="33"/>
  <c r="BA74" i="33"/>
  <c r="BA73" i="33"/>
  <c r="BA72" i="33"/>
  <c r="BA71" i="33"/>
  <c r="BA70" i="33"/>
  <c r="BA69" i="33"/>
  <c r="BA68" i="33"/>
  <c r="BA67" i="33"/>
  <c r="BA66" i="33"/>
  <c r="BA65" i="33"/>
  <c r="BA64" i="33"/>
  <c r="BA63" i="33"/>
  <c r="BA62" i="33"/>
  <c r="BA61" i="33"/>
  <c r="BA60" i="33"/>
  <c r="BA59" i="33"/>
  <c r="BA58" i="33"/>
  <c r="BA57" i="33"/>
  <c r="BA56" i="33"/>
  <c r="BA55" i="33"/>
  <c r="BA54" i="33"/>
  <c r="BA53" i="33"/>
  <c r="BA52" i="33"/>
  <c r="BA51" i="33"/>
  <c r="BA50" i="33"/>
  <c r="BA49" i="33"/>
  <c r="BA48" i="33"/>
  <c r="BA47" i="33"/>
  <c r="BA46" i="33"/>
  <c r="BA45" i="33"/>
  <c r="BA44" i="33"/>
  <c r="BA43" i="33"/>
  <c r="BA42" i="33"/>
  <c r="BA41" i="33"/>
  <c r="BA40" i="33"/>
  <c r="BA39" i="33"/>
  <c r="BA38" i="33"/>
  <c r="BA37" i="33"/>
  <c r="BA36" i="33"/>
  <c r="BA35" i="33"/>
  <c r="BA34" i="33"/>
  <c r="BA33" i="33"/>
  <c r="BA32" i="33"/>
  <c r="BA31" i="33"/>
  <c r="BA30" i="33"/>
  <c r="BA29" i="33"/>
  <c r="BA28" i="33"/>
  <c r="BA27" i="33"/>
  <c r="BA26" i="33"/>
  <c r="BA25" i="33"/>
  <c r="BA24" i="33"/>
  <c r="BA23" i="33"/>
  <c r="BA22" i="33"/>
  <c r="BA21" i="33"/>
  <c r="BA20" i="33"/>
  <c r="BA19" i="33"/>
  <c r="BA18" i="33"/>
  <c r="BA17" i="33"/>
  <c r="BA16" i="33"/>
  <c r="BA15" i="33"/>
  <c r="BA14" i="33"/>
  <c r="BA13" i="33"/>
  <c r="BA12" i="33"/>
  <c r="BB60" i="33" s="1"/>
  <c r="BA11" i="33"/>
  <c r="BB23" i="33" s="1"/>
  <c r="BA10" i="33"/>
  <c r="BB70" i="33" s="1"/>
  <c r="BA9" i="33"/>
  <c r="BA8" i="33"/>
  <c r="BA7" i="33"/>
  <c r="BA6" i="33"/>
  <c r="BA5" i="33"/>
  <c r="BA4" i="33"/>
  <c r="BB52" i="33" s="1"/>
  <c r="BA3" i="33"/>
  <c r="CO11" i="17"/>
  <c r="CN11" i="17"/>
  <c r="CM11" i="17"/>
  <c r="CO10" i="17"/>
  <c r="CN10" i="17"/>
  <c r="CM10" i="17"/>
  <c r="CO8" i="17"/>
  <c r="CN8" i="17"/>
  <c r="CM8" i="17"/>
  <c r="CO7" i="17"/>
  <c r="CN7" i="17"/>
  <c r="CM7" i="17"/>
  <c r="CO6" i="17"/>
  <c r="CN6" i="17"/>
  <c r="CM6" i="17"/>
  <c r="CN4" i="17"/>
  <c r="CM4" i="17"/>
  <c r="BV4" i="17"/>
  <c r="BV11" i="17"/>
  <c r="BU11" i="17"/>
  <c r="BW8" i="17"/>
  <c r="BV8" i="17"/>
  <c r="BU8" i="17"/>
  <c r="BW7" i="17"/>
  <c r="BV7" i="17"/>
  <c r="BU7" i="17"/>
  <c r="BT4" i="17"/>
  <c r="BS11" i="17"/>
  <c r="BR11" i="17"/>
  <c r="BT8" i="17"/>
  <c r="BS8" i="17"/>
  <c r="BR8" i="17"/>
  <c r="BT7" i="17"/>
  <c r="BS7" i="17"/>
  <c r="BR7" i="17"/>
  <c r="BS4" i="17"/>
  <c r="BR4" i="17"/>
  <c r="BH56" i="33" l="1"/>
  <c r="BZ33" i="33"/>
  <c r="BH90" i="33"/>
  <c r="BB53" i="33"/>
  <c r="BB50" i="33"/>
  <c r="CL24" i="33"/>
  <c r="CL37" i="33"/>
  <c r="CL49" i="33"/>
  <c r="CL61" i="33"/>
  <c r="CL15" i="33"/>
  <c r="CL75" i="33"/>
  <c r="BZ34" i="33"/>
  <c r="CA33" i="33" s="1"/>
  <c r="CL42" i="33"/>
  <c r="CL59" i="33"/>
  <c r="CL83" i="33"/>
  <c r="BT26" i="33"/>
  <c r="CL73" i="33"/>
  <c r="CL85" i="33"/>
  <c r="CL97" i="33"/>
  <c r="CL27" i="33"/>
  <c r="BT24" i="33"/>
  <c r="BU23" i="33" s="1"/>
  <c r="BN17" i="33"/>
  <c r="CF53" i="33"/>
  <c r="CF65" i="33"/>
  <c r="CF77" i="33"/>
  <c r="CG77" i="33" s="1"/>
  <c r="CL28" i="33"/>
  <c r="CL87" i="33"/>
  <c r="CF54" i="33"/>
  <c r="CF66" i="33"/>
  <c r="CF78" i="33"/>
  <c r="CL18" i="33"/>
  <c r="CF55" i="33"/>
  <c r="CF79" i="33"/>
  <c r="CF56" i="33"/>
  <c r="CL44" i="33"/>
  <c r="CL82" i="33"/>
  <c r="CL94" i="33"/>
  <c r="CF41" i="33"/>
  <c r="BT31" i="33"/>
  <c r="CF42" i="33"/>
  <c r="CL40" i="33"/>
  <c r="CL39" i="33"/>
  <c r="CF44" i="33"/>
  <c r="CL51" i="33"/>
  <c r="BH23" i="33"/>
  <c r="BT34" i="33"/>
  <c r="BT35" i="33"/>
  <c r="BT47" i="33"/>
  <c r="CF47" i="33"/>
  <c r="CF69" i="33"/>
  <c r="CL54" i="33"/>
  <c r="CM53" i="33" s="1"/>
  <c r="CL89" i="33"/>
  <c r="BN73" i="33"/>
  <c r="CF58" i="33"/>
  <c r="CL21" i="33"/>
  <c r="CL32" i="33"/>
  <c r="CL67" i="33"/>
  <c r="CL78" i="33"/>
  <c r="CM77" i="33" s="1"/>
  <c r="CL90" i="33"/>
  <c r="BZ49" i="33"/>
  <c r="CF59" i="33"/>
  <c r="CF83" i="33"/>
  <c r="CL22" i="33"/>
  <c r="CM21" i="33" s="1"/>
  <c r="CL56" i="33"/>
  <c r="CM55" i="33" s="1"/>
  <c r="CL68" i="33"/>
  <c r="AB28" i="34"/>
  <c r="CL60" i="33"/>
  <c r="CL34" i="33"/>
  <c r="CL69" i="33"/>
  <c r="CL92" i="33"/>
  <c r="Z18" i="34"/>
  <c r="CL46" i="33"/>
  <c r="CL58" i="33"/>
  <c r="CL70" i="33"/>
  <c r="AD47" i="34"/>
  <c r="AF39" i="34"/>
  <c r="AD39" i="34"/>
  <c r="AC39" i="34"/>
  <c r="AB39" i="34"/>
  <c r="Z33" i="34"/>
  <c r="AE35" i="34"/>
  <c r="Z37" i="34"/>
  <c r="AE33" i="34"/>
  <c r="Z43" i="34"/>
  <c r="AE47" i="34"/>
  <c r="AE46" i="34"/>
  <c r="AE53" i="34"/>
  <c r="AE52" i="34"/>
  <c r="AF43" i="34"/>
  <c r="AD43" i="34"/>
  <c r="AF48" i="34"/>
  <c r="AB48" i="34"/>
  <c r="AA48" i="34"/>
  <c r="AF37" i="34"/>
  <c r="AD37" i="34"/>
  <c r="AD6" i="34"/>
  <c r="AC6" i="34"/>
  <c r="AB6" i="34"/>
  <c r="AC43" i="34"/>
  <c r="AC37" i="34"/>
  <c r="AA6" i="34"/>
  <c r="AB43" i="34"/>
  <c r="AB37" i="34"/>
  <c r="AF13" i="34"/>
  <c r="AA43" i="34"/>
  <c r="AA37" i="34"/>
  <c r="AE13" i="34"/>
  <c r="Z48" i="34"/>
  <c r="AD13" i="34"/>
  <c r="AC13" i="34"/>
  <c r="AE48" i="34"/>
  <c r="AB13" i="34"/>
  <c r="AB9" i="34"/>
  <c r="AD48" i="34"/>
  <c r="AA13" i="34"/>
  <c r="AA9" i="34"/>
  <c r="AC48" i="34"/>
  <c r="Z13" i="34"/>
  <c r="AF6" i="34"/>
  <c r="AF9" i="34"/>
  <c r="AE9" i="34"/>
  <c r="AD9" i="34"/>
  <c r="AC9" i="34"/>
  <c r="CL43" i="33"/>
  <c r="CL36" i="33"/>
  <c r="CL62" i="33"/>
  <c r="CL52" i="33"/>
  <c r="CL79" i="33"/>
  <c r="CL33" i="33"/>
  <c r="CL19" i="33"/>
  <c r="CM19" i="33" s="1"/>
  <c r="CL63" i="33"/>
  <c r="CL71" i="33"/>
  <c r="CL80" i="33"/>
  <c r="CL72" i="33"/>
  <c r="CL81" i="33"/>
  <c r="CL23" i="33"/>
  <c r="CL29" i="33"/>
  <c r="CL38" i="33"/>
  <c r="CL64" i="33"/>
  <c r="CL91" i="33"/>
  <c r="CL74" i="33"/>
  <c r="CL25" i="33"/>
  <c r="CL31" i="33"/>
  <c r="CL48" i="33"/>
  <c r="CL66" i="33"/>
  <c r="CL84" i="33"/>
  <c r="CL93" i="33"/>
  <c r="CL50" i="33"/>
  <c r="CL41" i="33"/>
  <c r="CL76" i="33"/>
  <c r="CL86" i="33"/>
  <c r="CL96" i="33"/>
  <c r="CL16" i="33"/>
  <c r="CL30" i="33"/>
  <c r="CL26" i="33"/>
  <c r="CL88" i="33"/>
  <c r="CL98" i="33"/>
  <c r="CL35" i="33"/>
  <c r="CL45" i="33"/>
  <c r="CL65" i="33"/>
  <c r="CL95" i="33"/>
  <c r="CL17" i="33"/>
  <c r="CL47" i="33"/>
  <c r="CL57" i="33"/>
  <c r="CL77" i="33"/>
  <c r="BN41" i="33"/>
  <c r="BN89" i="33"/>
  <c r="BZ98" i="33"/>
  <c r="CF39" i="33"/>
  <c r="CF60" i="33"/>
  <c r="BT67" i="33"/>
  <c r="CF89" i="33"/>
  <c r="CF29" i="33"/>
  <c r="BN77" i="33"/>
  <c r="CF70" i="33"/>
  <c r="CF94" i="33"/>
  <c r="BT68" i="33"/>
  <c r="CF30" i="33"/>
  <c r="CF62" i="33"/>
  <c r="CG61" i="33" s="1"/>
  <c r="CF73" i="33"/>
  <c r="CF96" i="33"/>
  <c r="BN65" i="33"/>
  <c r="BZ86" i="33"/>
  <c r="CA85" i="33" s="1"/>
  <c r="BT22" i="33"/>
  <c r="CF43" i="33"/>
  <c r="CF71" i="33"/>
  <c r="BN48" i="33"/>
  <c r="BZ44" i="33"/>
  <c r="CF68" i="33"/>
  <c r="CF20" i="33"/>
  <c r="CF32" i="33"/>
  <c r="CF64" i="33"/>
  <c r="CF75" i="33"/>
  <c r="CF86" i="33"/>
  <c r="CG85" i="33" s="1"/>
  <c r="CF98" i="33"/>
  <c r="CG97" i="33" s="1"/>
  <c r="BN29" i="33"/>
  <c r="BN53" i="33"/>
  <c r="BT17" i="33"/>
  <c r="BZ38" i="33"/>
  <c r="CF93" i="33"/>
  <c r="CF87" i="33"/>
  <c r="BZ58" i="33"/>
  <c r="BZ70" i="33"/>
  <c r="CF22" i="33"/>
  <c r="CF34" i="33"/>
  <c r="BH37" i="33"/>
  <c r="BN74" i="33"/>
  <c r="BT37" i="33"/>
  <c r="BT49" i="33"/>
  <c r="BZ48" i="33"/>
  <c r="BZ84" i="33"/>
  <c r="CA83" i="33" s="1"/>
  <c r="CF48" i="33"/>
  <c r="CF24" i="33"/>
  <c r="AC33" i="34"/>
  <c r="AC44" i="34"/>
  <c r="AC34" i="34"/>
  <c r="AC46" i="34"/>
  <c r="AC38" i="34"/>
  <c r="CF40" i="33"/>
  <c r="CF23" i="33"/>
  <c r="CG23" i="33" s="1"/>
  <c r="CF72" i="33"/>
  <c r="CF80" i="33"/>
  <c r="CG79" i="33" s="1"/>
  <c r="CF90" i="33"/>
  <c r="CF49" i="33"/>
  <c r="CF57" i="33"/>
  <c r="CF38" i="33"/>
  <c r="CF50" i="33"/>
  <c r="CF82" i="33"/>
  <c r="CF92" i="33"/>
  <c r="CF63" i="33"/>
  <c r="CF15" i="33"/>
  <c r="CF25" i="33"/>
  <c r="CG25" i="33" s="1"/>
  <c r="CF35" i="33"/>
  <c r="CF74" i="33"/>
  <c r="CF88" i="33"/>
  <c r="CF67" i="33"/>
  <c r="CF17" i="33"/>
  <c r="CF84" i="33"/>
  <c r="CF95" i="33"/>
  <c r="CF18" i="33"/>
  <c r="CG17" i="33" s="1"/>
  <c r="CF37" i="33"/>
  <c r="CF45" i="33"/>
  <c r="CG45" i="33" s="1"/>
  <c r="CF85" i="33"/>
  <c r="CF19" i="33"/>
  <c r="CG19" i="33" s="1"/>
  <c r="CF97" i="33"/>
  <c r="CF16" i="33"/>
  <c r="CF21" i="33"/>
  <c r="CG21" i="33" s="1"/>
  <c r="CF31" i="33"/>
  <c r="CF26" i="33"/>
  <c r="CF36" i="33"/>
  <c r="CF51" i="33"/>
  <c r="CF76" i="33"/>
  <c r="CF81" i="33"/>
  <c r="CF91" i="33"/>
  <c r="CF27" i="33"/>
  <c r="CF52" i="33"/>
  <c r="CF28" i="33"/>
  <c r="CF33" i="33"/>
  <c r="BZ15" i="33"/>
  <c r="BZ27" i="33"/>
  <c r="BN40" i="33"/>
  <c r="BT63" i="33"/>
  <c r="BT25" i="33"/>
  <c r="BU25" i="33" s="1"/>
  <c r="BZ39" i="33"/>
  <c r="BZ61" i="33"/>
  <c r="BZ73" i="33"/>
  <c r="BZ85" i="33"/>
  <c r="BZ97" i="33"/>
  <c r="BH97" i="33"/>
  <c r="BN66" i="33"/>
  <c r="BN78" i="33"/>
  <c r="BT18" i="33"/>
  <c r="BZ64" i="33"/>
  <c r="BZ76" i="33"/>
  <c r="BZ88" i="33"/>
  <c r="BN42" i="33"/>
  <c r="BZ65" i="33"/>
  <c r="BZ54" i="33"/>
  <c r="BZ66" i="33"/>
  <c r="BN22" i="33"/>
  <c r="BN58" i="33"/>
  <c r="BT77" i="33"/>
  <c r="BZ22" i="33"/>
  <c r="CA21" i="33" s="1"/>
  <c r="BZ79" i="33"/>
  <c r="BN47" i="33"/>
  <c r="BO47" i="33" s="1"/>
  <c r="BT32" i="33"/>
  <c r="BT43" i="33"/>
  <c r="BT78" i="33"/>
  <c r="BZ56" i="33"/>
  <c r="BZ68" i="33"/>
  <c r="BZ92" i="33"/>
  <c r="BT44" i="33"/>
  <c r="BT56" i="33"/>
  <c r="BZ46" i="33"/>
  <c r="BZ29" i="33"/>
  <c r="BH85" i="33"/>
  <c r="BN54" i="33"/>
  <c r="BT73" i="33"/>
  <c r="BT58" i="33"/>
  <c r="BT69" i="33"/>
  <c r="BZ26" i="33"/>
  <c r="BZ37" i="33"/>
  <c r="BZ59" i="33"/>
  <c r="BZ95" i="33"/>
  <c r="BZ20" i="33"/>
  <c r="BZ78" i="33"/>
  <c r="BZ89" i="33"/>
  <c r="BZ50" i="33"/>
  <c r="BZ90" i="33"/>
  <c r="BZ23" i="33"/>
  <c r="BZ32" i="33"/>
  <c r="BZ41" i="33"/>
  <c r="BZ51" i="33"/>
  <c r="BZ60" i="33"/>
  <c r="BZ69" i="33"/>
  <c r="BZ80" i="33"/>
  <c r="CA79" i="33" s="1"/>
  <c r="BZ91" i="33"/>
  <c r="BZ42" i="33"/>
  <c r="BZ81" i="33"/>
  <c r="BZ25" i="33"/>
  <c r="CA25" i="33" s="1"/>
  <c r="BZ62" i="33"/>
  <c r="BZ71" i="33"/>
  <c r="BZ82" i="33"/>
  <c r="BZ93" i="33"/>
  <c r="BZ53" i="33"/>
  <c r="BZ63" i="33"/>
  <c r="BZ72" i="33"/>
  <c r="BZ83" i="33"/>
  <c r="BZ94" i="33"/>
  <c r="BZ28" i="33"/>
  <c r="BZ36" i="33"/>
  <c r="BZ74" i="33"/>
  <c r="BZ96" i="33"/>
  <c r="BZ75" i="33"/>
  <c r="BZ18" i="33"/>
  <c r="CA17" i="33" s="1"/>
  <c r="BZ17" i="33"/>
  <c r="BZ87" i="33"/>
  <c r="BZ30" i="33"/>
  <c r="BZ35" i="33"/>
  <c r="BZ40" i="33"/>
  <c r="BZ45" i="33"/>
  <c r="BZ55" i="33"/>
  <c r="BZ16" i="33"/>
  <c r="BZ21" i="33"/>
  <c r="BZ31" i="33"/>
  <c r="BZ47" i="33"/>
  <c r="BZ52" i="33"/>
  <c r="BZ57" i="33"/>
  <c r="BZ67" i="33"/>
  <c r="BZ43" i="33"/>
  <c r="BN32" i="33"/>
  <c r="BT48" i="33"/>
  <c r="BT53" i="33"/>
  <c r="BU53" i="33" s="1"/>
  <c r="BN18" i="33"/>
  <c r="BT74" i="33"/>
  <c r="BT85" i="33"/>
  <c r="BT97" i="33"/>
  <c r="BN31" i="33"/>
  <c r="BT38" i="33"/>
  <c r="BT86" i="33"/>
  <c r="BU85" i="33" s="1"/>
  <c r="BT98" i="33"/>
  <c r="BT88" i="33"/>
  <c r="BN34" i="33"/>
  <c r="BN68" i="33"/>
  <c r="BN79" i="33"/>
  <c r="BT59" i="33"/>
  <c r="BN56" i="33"/>
  <c r="BN49" i="33"/>
  <c r="BO49" i="33" s="1"/>
  <c r="BN69" i="33"/>
  <c r="BN92" i="33"/>
  <c r="BT92" i="33"/>
  <c r="BN38" i="33"/>
  <c r="BN70" i="33"/>
  <c r="BN81" i="33"/>
  <c r="BT41" i="33"/>
  <c r="BT50" i="33"/>
  <c r="BT61" i="33"/>
  <c r="BT81" i="33"/>
  <c r="BN44" i="33"/>
  <c r="BN63" i="33"/>
  <c r="BN37" i="33"/>
  <c r="BN59" i="33"/>
  <c r="BO59" i="33" s="1"/>
  <c r="BN82" i="33"/>
  <c r="BT82" i="33"/>
  <c r="BU81" i="33" s="1"/>
  <c r="BH64" i="33"/>
  <c r="BN88" i="33"/>
  <c r="BN83" i="33"/>
  <c r="BT42" i="33"/>
  <c r="BT83" i="33"/>
  <c r="BT95" i="33"/>
  <c r="AD4" i="34"/>
  <c r="AD5" i="34"/>
  <c r="AD7" i="34"/>
  <c r="AC52" i="34"/>
  <c r="BT19" i="33"/>
  <c r="BT29" i="33"/>
  <c r="BT62" i="33"/>
  <c r="BT70" i="33"/>
  <c r="BT93" i="33"/>
  <c r="BT20" i="33"/>
  <c r="BT30" i="33"/>
  <c r="BT45" i="33"/>
  <c r="BT71" i="33"/>
  <c r="BT79" i="33"/>
  <c r="BT89" i="33"/>
  <c r="BT46" i="33"/>
  <c r="BT72" i="33"/>
  <c r="BT80" i="33"/>
  <c r="BT90" i="33"/>
  <c r="BT23" i="33"/>
  <c r="BT39" i="33"/>
  <c r="BT55" i="33"/>
  <c r="BT64" i="33"/>
  <c r="BT91" i="33"/>
  <c r="BT40" i="33"/>
  <c r="BT65" i="33"/>
  <c r="BT66" i="33"/>
  <c r="BT75" i="33"/>
  <c r="BT94" i="33"/>
  <c r="BT15" i="33"/>
  <c r="BT76" i="33"/>
  <c r="BT84" i="33"/>
  <c r="BT96" i="33"/>
  <c r="BT51" i="33"/>
  <c r="BT36" i="33"/>
  <c r="BT60" i="33"/>
  <c r="BT87" i="33"/>
  <c r="BT16" i="33"/>
  <c r="BT21" i="33"/>
  <c r="BU21" i="33" s="1"/>
  <c r="BT57" i="33"/>
  <c r="BT27" i="33"/>
  <c r="BT52" i="33"/>
  <c r="BT28" i="33"/>
  <c r="BT33" i="33"/>
  <c r="BH87" i="33"/>
  <c r="BN75" i="33"/>
  <c r="BN94" i="33"/>
  <c r="BH76" i="33"/>
  <c r="BH88" i="33"/>
  <c r="BN15" i="33"/>
  <c r="BN24" i="33"/>
  <c r="BN67" i="33"/>
  <c r="BN76" i="33"/>
  <c r="BN84" i="33"/>
  <c r="BN95" i="33"/>
  <c r="BN25" i="33"/>
  <c r="BN50" i="33"/>
  <c r="BN85" i="33"/>
  <c r="BN96" i="33"/>
  <c r="BH91" i="33"/>
  <c r="BH42" i="33"/>
  <c r="BH54" i="33"/>
  <c r="BH66" i="33"/>
  <c r="BN26" i="33"/>
  <c r="BN35" i="33"/>
  <c r="BO35" i="33" s="1"/>
  <c r="BN51" i="33"/>
  <c r="BN86" i="33"/>
  <c r="BN97" i="33"/>
  <c r="BH32" i="33"/>
  <c r="BN36" i="33"/>
  <c r="BN43" i="33"/>
  <c r="BN60" i="33"/>
  <c r="BN87" i="33"/>
  <c r="BN98" i="33"/>
  <c r="BN61" i="33"/>
  <c r="BH62" i="33"/>
  <c r="BB22" i="33"/>
  <c r="BH22" i="33"/>
  <c r="BH34" i="33"/>
  <c r="BN19" i="33"/>
  <c r="BN62" i="33"/>
  <c r="BN93" i="33"/>
  <c r="BN20" i="33"/>
  <c r="BN30" i="33"/>
  <c r="BN45" i="33"/>
  <c r="BN71" i="33"/>
  <c r="BN46" i="33"/>
  <c r="BN72" i="33"/>
  <c r="BN80" i="33"/>
  <c r="BO79" i="33" s="1"/>
  <c r="BN90" i="33"/>
  <c r="BH86" i="33"/>
  <c r="BH25" i="33"/>
  <c r="BN23" i="33"/>
  <c r="BN39" i="33"/>
  <c r="BN55" i="33"/>
  <c r="BN64" i="33"/>
  <c r="BN91" i="33"/>
  <c r="BO91" i="33" s="1"/>
  <c r="BN16" i="33"/>
  <c r="BN21" i="33"/>
  <c r="BN27" i="33"/>
  <c r="BN52" i="33"/>
  <c r="BN57" i="33"/>
  <c r="BN28" i="33"/>
  <c r="BN33" i="33"/>
  <c r="BH44" i="33"/>
  <c r="BB37" i="33"/>
  <c r="BB49" i="33"/>
  <c r="BB73" i="33"/>
  <c r="BH24" i="33"/>
  <c r="BH35" i="33"/>
  <c r="BH89" i="33"/>
  <c r="BI89" i="33" s="1"/>
  <c r="BB26" i="33"/>
  <c r="BB38" i="33"/>
  <c r="BB74" i="33"/>
  <c r="BB86" i="33"/>
  <c r="BB98" i="33"/>
  <c r="BH46" i="33"/>
  <c r="BH68" i="33"/>
  <c r="BH69" i="33"/>
  <c r="BB39" i="33"/>
  <c r="BB28" i="33"/>
  <c r="BB64" i="33"/>
  <c r="BH70" i="33"/>
  <c r="BH77" i="33"/>
  <c r="BH28" i="33"/>
  <c r="BH49" i="33"/>
  <c r="BH59" i="33"/>
  <c r="BB18" i="33"/>
  <c r="BB78" i="33"/>
  <c r="BH18" i="33"/>
  <c r="BH72" i="33"/>
  <c r="BH83" i="33"/>
  <c r="BB43" i="33"/>
  <c r="BB55" i="33"/>
  <c r="BB67" i="33"/>
  <c r="BB79" i="33"/>
  <c r="BB32" i="33"/>
  <c r="BH20" i="33"/>
  <c r="BH52" i="33"/>
  <c r="BB69" i="33"/>
  <c r="BC69" i="33" s="1"/>
  <c r="BB58" i="33"/>
  <c r="BH33" i="33"/>
  <c r="BB46" i="33"/>
  <c r="AD34" i="34"/>
  <c r="AC45" i="34"/>
  <c r="AC47" i="34"/>
  <c r="AD18" i="34"/>
  <c r="AC4" i="34"/>
  <c r="AF44" i="34"/>
  <c r="AC55" i="34"/>
  <c r="AC5" i="34"/>
  <c r="AD33" i="34"/>
  <c r="AD55" i="34"/>
  <c r="Z7" i="34"/>
  <c r="AC14" i="34"/>
  <c r="Z27" i="34"/>
  <c r="AB34" i="34"/>
  <c r="AC7" i="34"/>
  <c r="AC18" i="34"/>
  <c r="AC28" i="34"/>
  <c r="AF7" i="34"/>
  <c r="AA19" i="34"/>
  <c r="Z8" i="34"/>
  <c r="AC19" i="34"/>
  <c r="AF55" i="34"/>
  <c r="AB33" i="34"/>
  <c r="AA56" i="34"/>
  <c r="AA45" i="34"/>
  <c r="AD45" i="34"/>
  <c r="AD56" i="34"/>
  <c r="AA46" i="34"/>
  <c r="AF56" i="34"/>
  <c r="AA38" i="34"/>
  <c r="AF33" i="34"/>
  <c r="AB38" i="34"/>
  <c r="AD46" i="34"/>
  <c r="AA52" i="34"/>
  <c r="AF46" i="34"/>
  <c r="AD38" i="34"/>
  <c r="Z47" i="34"/>
  <c r="AD52" i="34"/>
  <c r="AF53" i="34"/>
  <c r="AF34" i="34"/>
  <c r="AF38" i="34"/>
  <c r="AA55" i="34"/>
  <c r="AB4" i="34"/>
  <c r="AC27" i="34"/>
  <c r="AB8" i="34"/>
  <c r="AF28" i="34"/>
  <c r="AF4" i="34"/>
  <c r="AC8" i="34"/>
  <c r="AF14" i="34"/>
  <c r="AD19" i="34"/>
  <c r="AB24" i="34"/>
  <c r="AA29" i="34"/>
  <c r="AB5" i="34"/>
  <c r="AD8" i="34"/>
  <c r="AA16" i="34"/>
  <c r="AF19" i="34"/>
  <c r="AD24" i="34"/>
  <c r="AD29" i="34"/>
  <c r="AF8" i="34"/>
  <c r="AD16" i="34"/>
  <c r="AA20" i="34"/>
  <c r="AF24" i="34"/>
  <c r="AF29" i="34"/>
  <c r="AF16" i="34"/>
  <c r="AC20" i="34"/>
  <c r="AF5" i="34"/>
  <c r="AB17" i="34"/>
  <c r="AF20" i="34"/>
  <c r="AD25" i="34"/>
  <c r="AD17" i="34"/>
  <c r="Z26" i="34"/>
  <c r="AB7" i="34"/>
  <c r="AC26" i="34"/>
  <c r="AA18" i="34"/>
  <c r="AD26" i="34"/>
  <c r="AA7" i="34"/>
  <c r="AC16" i="34"/>
  <c r="AB18" i="34"/>
  <c r="Z20" i="34"/>
  <c r="AC24" i="34"/>
  <c r="AA26" i="34"/>
  <c r="AF27" i="34"/>
  <c r="AE29" i="34"/>
  <c r="AA34" i="34"/>
  <c r="AB45" i="34"/>
  <c r="AA47" i="34"/>
  <c r="AF52" i="34"/>
  <c r="AE55" i="34"/>
  <c r="AE8" i="34"/>
  <c r="AB26" i="34"/>
  <c r="Z28" i="34"/>
  <c r="AB47" i="34"/>
  <c r="Z53" i="34"/>
  <c r="AE4" i="34"/>
  <c r="AE16" i="34"/>
  <c r="AB20" i="34"/>
  <c r="AE24" i="34"/>
  <c r="AA28" i="34"/>
  <c r="AA53" i="34"/>
  <c r="Z56" i="34"/>
  <c r="AE27" i="34"/>
  <c r="Z14" i="34"/>
  <c r="AE18" i="34"/>
  <c r="Z44" i="34"/>
  <c r="AE45" i="34"/>
  <c r="AB53" i="34"/>
  <c r="Z5" i="34"/>
  <c r="AE7" i="34"/>
  <c r="AA14" i="34"/>
  <c r="Z17" i="34"/>
  <c r="AF18" i="34"/>
  <c r="AD20" i="34"/>
  <c r="Z25" i="34"/>
  <c r="AE26" i="34"/>
  <c r="AD28" i="34"/>
  <c r="AA44" i="34"/>
  <c r="AF45" i="34"/>
  <c r="AC53" i="34"/>
  <c r="AB56" i="34"/>
  <c r="AA5" i="34"/>
  <c r="AB14" i="34"/>
  <c r="AA17" i="34"/>
  <c r="Z19" i="34"/>
  <c r="AE20" i="34"/>
  <c r="AA25" i="34"/>
  <c r="AF26" i="34"/>
  <c r="AE28" i="34"/>
  <c r="AA33" i="34"/>
  <c r="AB44" i="34"/>
  <c r="Z46" i="34"/>
  <c r="AD53" i="34"/>
  <c r="AA8" i="34"/>
  <c r="AD14" i="34"/>
  <c r="AC17" i="34"/>
  <c r="AB19" i="34"/>
  <c r="AC25" i="34"/>
  <c r="AA27" i="34"/>
  <c r="AB46" i="34"/>
  <c r="Z52" i="34"/>
  <c r="Z55" i="34"/>
  <c r="AE56" i="34"/>
  <c r="AE14" i="34"/>
  <c r="AB27" i="34"/>
  <c r="AE44" i="34"/>
  <c r="Z4" i="34"/>
  <c r="AE5" i="34"/>
  <c r="AE17" i="34"/>
  <c r="Z24" i="34"/>
  <c r="AE25" i="34"/>
  <c r="AB52" i="34"/>
  <c r="AA4" i="34"/>
  <c r="BH29" i="33"/>
  <c r="BH21" i="33"/>
  <c r="BH30" i="33"/>
  <c r="BH38" i="33"/>
  <c r="BH63" i="33"/>
  <c r="BH45" i="33"/>
  <c r="BH53" i="33"/>
  <c r="BH79" i="33"/>
  <c r="BH31" i="33"/>
  <c r="BH80" i="33"/>
  <c r="BH55" i="33"/>
  <c r="BH61" i="33"/>
  <c r="BH40" i="33"/>
  <c r="BH48" i="33"/>
  <c r="BH65" i="33"/>
  <c r="BH73" i="33"/>
  <c r="BH82" i="33"/>
  <c r="BI81" i="33" s="1"/>
  <c r="BH36" i="33"/>
  <c r="BH26" i="33"/>
  <c r="BH41" i="33"/>
  <c r="BH74" i="33"/>
  <c r="BH92" i="33"/>
  <c r="BH27" i="33"/>
  <c r="BH15" i="33"/>
  <c r="BH84" i="33"/>
  <c r="BH16" i="33"/>
  <c r="BH58" i="33"/>
  <c r="BH94" i="33"/>
  <c r="BI93" i="33" s="1"/>
  <c r="BH17" i="33"/>
  <c r="BH67" i="33"/>
  <c r="BH43" i="33"/>
  <c r="BH96" i="33"/>
  <c r="BH78" i="33"/>
  <c r="BH19" i="33"/>
  <c r="BH98" i="33"/>
  <c r="BH60" i="33"/>
  <c r="BH75" i="33"/>
  <c r="BH95" i="33"/>
  <c r="BH50" i="33"/>
  <c r="BH51" i="33"/>
  <c r="BH71" i="33"/>
  <c r="BH81" i="33"/>
  <c r="BH47" i="33"/>
  <c r="BH57" i="33"/>
  <c r="BB59" i="33"/>
  <c r="BC59" i="33" s="1"/>
  <c r="BB90" i="33"/>
  <c r="BB80" i="33"/>
  <c r="BB19" i="33"/>
  <c r="BB29" i="33"/>
  <c r="BB33" i="33"/>
  <c r="BC33" i="33" s="1"/>
  <c r="BB30" i="33"/>
  <c r="BB40" i="33"/>
  <c r="BB31" i="33"/>
  <c r="BB41" i="33"/>
  <c r="BB62" i="33"/>
  <c r="BB42" i="33"/>
  <c r="BB34" i="33"/>
  <c r="BB87" i="33"/>
  <c r="BB54" i="33"/>
  <c r="BC53" i="33" s="1"/>
  <c r="BB65" i="33"/>
  <c r="BB76" i="33"/>
  <c r="BB88" i="33"/>
  <c r="BB66" i="33"/>
  <c r="BB89" i="33"/>
  <c r="BB85" i="33"/>
  <c r="BB27" i="33"/>
  <c r="BB15" i="33"/>
  <c r="BB24" i="33"/>
  <c r="BC23" i="33" s="1"/>
  <c r="BB51" i="33"/>
  <c r="BB68" i="33"/>
  <c r="BB16" i="33"/>
  <c r="BB25" i="33"/>
  <c r="BB61" i="33"/>
  <c r="BB91" i="33"/>
  <c r="BB35" i="33"/>
  <c r="BB81" i="33"/>
  <c r="BB92" i="33"/>
  <c r="BB36" i="33"/>
  <c r="BB63" i="33"/>
  <c r="BB71" i="33"/>
  <c r="BB82" i="33"/>
  <c r="BB93" i="33"/>
  <c r="BB44" i="33"/>
  <c r="BB72" i="33"/>
  <c r="BB83" i="33"/>
  <c r="BB94" i="33"/>
  <c r="BB45" i="33"/>
  <c r="BB84" i="33"/>
  <c r="BB20" i="33"/>
  <c r="BB96" i="33"/>
  <c r="BB21" i="33"/>
  <c r="BC21" i="33" s="1"/>
  <c r="BB56" i="33"/>
  <c r="BB97" i="33"/>
  <c r="BB48" i="33"/>
  <c r="BB75" i="33"/>
  <c r="BB95" i="33"/>
  <c r="BB17" i="33"/>
  <c r="BB47" i="33"/>
  <c r="BB57" i="33"/>
  <c r="BC57" i="33" s="1"/>
  <c r="BB77" i="33"/>
  <c r="BU4" i="17"/>
  <c r="BW4" i="17"/>
  <c r="BU47" i="33" l="1"/>
  <c r="CG29" i="33"/>
  <c r="BI55" i="33"/>
  <c r="BI23" i="33"/>
  <c r="CM17" i="33"/>
  <c r="CM37" i="33"/>
  <c r="CG43" i="33"/>
  <c r="CM97" i="33"/>
  <c r="CM93" i="33"/>
  <c r="CM41" i="33"/>
  <c r="BO89" i="33"/>
  <c r="CA49" i="33"/>
  <c r="CM83" i="33"/>
  <c r="BO17" i="33"/>
  <c r="CG59" i="33"/>
  <c r="CG41" i="33"/>
  <c r="BI85" i="33"/>
  <c r="BI91" i="33"/>
  <c r="BC49" i="33"/>
  <c r="CM31" i="33"/>
  <c r="CM33" i="33"/>
  <c r="BO29" i="33"/>
  <c r="CG73" i="33"/>
  <c r="CM61" i="33"/>
  <c r="CA97" i="33"/>
  <c r="CM23" i="33"/>
  <c r="BU57" i="33"/>
  <c r="BU31" i="33"/>
  <c r="CG95" i="33"/>
  <c r="CA31" i="33"/>
  <c r="BI97" i="33"/>
  <c r="BU67" i="33"/>
  <c r="CG53" i="33"/>
  <c r="CG47" i="33"/>
  <c r="CM57" i="33"/>
  <c r="CG55" i="33"/>
  <c r="CG91" i="33"/>
  <c r="CG65" i="33"/>
  <c r="CG83" i="33"/>
  <c r="CG57" i="33"/>
  <c r="CA45" i="33"/>
  <c r="CM73" i="33"/>
  <c r="BI37" i="33"/>
  <c r="BU93" i="33"/>
  <c r="CA69" i="33"/>
  <c r="CG69" i="33"/>
  <c r="CM47" i="33"/>
  <c r="BU33" i="33"/>
  <c r="BU17" i="33"/>
  <c r="BC43" i="33"/>
  <c r="CM49" i="33"/>
  <c r="CM43" i="33"/>
  <c r="CM25" i="33"/>
  <c r="CA43" i="33"/>
  <c r="BI61" i="33"/>
  <c r="BO57" i="33"/>
  <c r="BO83" i="33"/>
  <c r="CM91" i="33"/>
  <c r="BU29" i="33"/>
  <c r="CM85" i="33"/>
  <c r="CM59" i="33"/>
  <c r="CG89" i="33"/>
  <c r="BI77" i="33"/>
  <c r="CA47" i="33"/>
  <c r="CM45" i="33"/>
  <c r="CM29" i="33"/>
  <c r="CM67" i="33"/>
  <c r="BO73" i="33"/>
  <c r="CM89" i="33"/>
  <c r="CM81" i="33"/>
  <c r="BI67" i="33"/>
  <c r="BU35" i="33"/>
  <c r="BO65" i="33"/>
  <c r="CG33" i="33"/>
  <c r="CG49" i="33"/>
  <c r="CA91" i="33"/>
  <c r="CA53" i="33"/>
  <c r="CG67" i="33"/>
  <c r="CA59" i="33"/>
  <c r="CA57" i="33"/>
  <c r="BO41" i="33"/>
  <c r="BO21" i="33"/>
  <c r="CG71" i="33"/>
  <c r="CA95" i="33"/>
  <c r="CA61" i="33"/>
  <c r="BO53" i="33"/>
  <c r="BO77" i="33"/>
  <c r="BO43" i="33"/>
  <c r="BO55" i="33"/>
  <c r="CG31" i="33"/>
  <c r="CM95" i="33"/>
  <c r="BC31" i="33"/>
  <c r="BU61" i="33"/>
  <c r="CM69" i="33"/>
  <c r="CM79" i="33"/>
  <c r="S73" i="34"/>
  <c r="AE40" i="34"/>
  <c r="AE41" i="34" s="1"/>
  <c r="Z40" i="34"/>
  <c r="Z42" i="34" s="1"/>
  <c r="Q73" i="34"/>
  <c r="P73" i="34"/>
  <c r="R73" i="34"/>
  <c r="U73" i="34"/>
  <c r="O73" i="34"/>
  <c r="T73" i="34"/>
  <c r="AF40" i="34"/>
  <c r="AD40" i="34"/>
  <c r="AA40" i="34"/>
  <c r="AC49" i="34"/>
  <c r="S71" i="34"/>
  <c r="AA30" i="34"/>
  <c r="P70" i="34"/>
  <c r="P72" i="34"/>
  <c r="O68" i="34"/>
  <c r="T71" i="34"/>
  <c r="AC10" i="34"/>
  <c r="P71" i="34"/>
  <c r="AD10" i="34"/>
  <c r="CM65" i="33"/>
  <c r="CM35" i="33"/>
  <c r="CM71" i="33"/>
  <c r="BU49" i="33"/>
  <c r="BI21" i="33"/>
  <c r="BI59" i="33"/>
  <c r="BO81" i="33"/>
  <c r="CG35" i="33"/>
  <c r="CA35" i="33"/>
  <c r="BU65" i="33"/>
  <c r="CA29" i="33"/>
  <c r="CA37" i="33"/>
  <c r="CA73" i="33"/>
  <c r="CG37" i="33"/>
  <c r="BU83" i="33"/>
  <c r="BI41" i="33"/>
  <c r="BI33" i="33"/>
  <c r="BU37" i="33"/>
  <c r="BU69" i="33"/>
  <c r="BI57" i="33"/>
  <c r="BU45" i="33"/>
  <c r="BU77" i="33"/>
  <c r="CG93" i="33"/>
  <c r="BO33" i="33"/>
  <c r="BO19" i="33"/>
  <c r="BO25" i="33"/>
  <c r="BU95" i="33"/>
  <c r="BU55" i="33"/>
  <c r="BU97" i="33"/>
  <c r="O74" i="34"/>
  <c r="AB40" i="34"/>
  <c r="AC40" i="34"/>
  <c r="R69" i="34"/>
  <c r="R74" i="34"/>
  <c r="AD49" i="34"/>
  <c r="U68" i="34"/>
  <c r="CG81" i="33"/>
  <c r="BC67" i="33"/>
  <c r="BU59" i="33"/>
  <c r="BU73" i="33"/>
  <c r="CA65" i="33"/>
  <c r="CA55" i="33"/>
  <c r="CA81" i="33"/>
  <c r="CA89" i="33"/>
  <c r="CA71" i="33"/>
  <c r="BC47" i="33"/>
  <c r="BO93" i="33"/>
  <c r="BU91" i="33"/>
  <c r="BU79" i="33"/>
  <c r="BI65" i="33"/>
  <c r="BU43" i="33"/>
  <c r="BO31" i="33"/>
  <c r="CA67" i="33"/>
  <c r="CA93" i="33"/>
  <c r="CA41" i="33"/>
  <c r="BI25" i="33"/>
  <c r="BO67" i="33"/>
  <c r="BC55" i="33"/>
  <c r="BI35" i="33"/>
  <c r="BI73" i="33"/>
  <c r="BU41" i="33"/>
  <c r="BC17" i="33"/>
  <c r="BU89" i="33"/>
  <c r="BO23" i="33"/>
  <c r="BU71" i="33"/>
  <c r="BC97" i="33"/>
  <c r="BO85" i="33"/>
  <c r="BO95" i="33"/>
  <c r="BO37" i="33"/>
  <c r="BO69" i="33"/>
  <c r="T68" i="34"/>
  <c r="P68" i="34"/>
  <c r="S69" i="34"/>
  <c r="P74" i="34"/>
  <c r="S74" i="34"/>
  <c r="AA57" i="34"/>
  <c r="AC57" i="34"/>
  <c r="AC21" i="34"/>
  <c r="BU19" i="33"/>
  <c r="BI83" i="33"/>
  <c r="BI19" i="33"/>
  <c r="BO61" i="33"/>
  <c r="BI47" i="33"/>
  <c r="BO45" i="33"/>
  <c r="BO71" i="33"/>
  <c r="BC41" i="33"/>
  <c r="BC85" i="33"/>
  <c r="BI31" i="33"/>
  <c r="BC19" i="33"/>
  <c r="BC93" i="33"/>
  <c r="BI17" i="33"/>
  <c r="BI53" i="33"/>
  <c r="BI69" i="33"/>
  <c r="BO97" i="33"/>
  <c r="BC77" i="33"/>
  <c r="BI71" i="33"/>
  <c r="BC45" i="33"/>
  <c r="BI49" i="33"/>
  <c r="BC95" i="33"/>
  <c r="BI43" i="33"/>
  <c r="BC25" i="33"/>
  <c r="BC79" i="33"/>
  <c r="BC89" i="33"/>
  <c r="BC73" i="33"/>
  <c r="BI45" i="33"/>
  <c r="BC37" i="33"/>
  <c r="AF49" i="34"/>
  <c r="P67" i="34"/>
  <c r="R71" i="34"/>
  <c r="O69" i="34"/>
  <c r="Z30" i="34"/>
  <c r="O72" i="34"/>
  <c r="O67" i="34"/>
  <c r="O70" i="34"/>
  <c r="AD30" i="34"/>
  <c r="AF10" i="34"/>
  <c r="U71" i="34"/>
  <c r="R70" i="34"/>
  <c r="R72" i="34"/>
  <c r="S70" i="34"/>
  <c r="S72" i="34"/>
  <c r="U67" i="34"/>
  <c r="U70" i="34"/>
  <c r="U72" i="34"/>
  <c r="AB57" i="34"/>
  <c r="Q74" i="34"/>
  <c r="Z10" i="34"/>
  <c r="O71" i="34"/>
  <c r="AA49" i="34"/>
  <c r="P69" i="34"/>
  <c r="AE49" i="34"/>
  <c r="T69" i="34"/>
  <c r="S67" i="34"/>
  <c r="S68" i="34"/>
  <c r="Q68" i="34"/>
  <c r="Q67" i="34"/>
  <c r="AB10" i="34"/>
  <c r="Q71" i="34"/>
  <c r="AB30" i="34"/>
  <c r="AE57" i="34"/>
  <c r="T74" i="34"/>
  <c r="AD57" i="34"/>
  <c r="AF57" i="34"/>
  <c r="U74" i="34"/>
  <c r="U69" i="34"/>
  <c r="T67" i="34"/>
  <c r="T70" i="34"/>
  <c r="T72" i="34"/>
  <c r="Q69" i="34"/>
  <c r="Q72" i="34"/>
  <c r="Q70" i="34"/>
  <c r="R67" i="34"/>
  <c r="R68" i="34"/>
  <c r="AF30" i="34"/>
  <c r="AF21" i="34"/>
  <c r="AB21" i="34"/>
  <c r="AE21" i="34"/>
  <c r="AA21" i="34"/>
  <c r="AE30" i="34"/>
  <c r="AD21" i="34"/>
  <c r="AB49" i="34"/>
  <c r="AA10" i="34"/>
  <c r="Z57" i="34"/>
  <c r="AE10" i="34"/>
  <c r="Z49" i="34"/>
  <c r="Z21" i="34"/>
  <c r="AC30" i="34"/>
  <c r="BI29" i="33"/>
  <c r="BI79" i="33"/>
  <c r="BI95" i="33"/>
  <c r="BC71" i="33"/>
  <c r="BC61" i="33"/>
  <c r="BC91" i="33"/>
  <c r="BC29" i="33"/>
  <c r="BC65" i="33"/>
  <c r="BC81" i="33"/>
  <c r="BC35" i="33"/>
  <c r="BC83" i="33"/>
  <c r="AE42" i="34" l="1"/>
  <c r="Z41" i="34"/>
  <c r="P66" i="34"/>
  <c r="AA58" i="34"/>
  <c r="AA59" i="34"/>
  <c r="R65" i="34"/>
  <c r="AC50" i="34"/>
  <c r="AC51" i="34"/>
  <c r="O65" i="34"/>
  <c r="Z51" i="34"/>
  <c r="Z50" i="34"/>
  <c r="S65" i="34"/>
  <c r="AD50" i="34"/>
  <c r="AD51" i="34"/>
  <c r="R66" i="34"/>
  <c r="AC58" i="34"/>
  <c r="AC59" i="34"/>
  <c r="P65" i="34"/>
  <c r="AA50" i="34"/>
  <c r="AA51" i="34"/>
  <c r="O66" i="34"/>
  <c r="Z59" i="34"/>
  <c r="Z58" i="34"/>
  <c r="S66" i="34"/>
  <c r="AD58" i="34"/>
  <c r="AD59" i="34"/>
  <c r="U66" i="34"/>
  <c r="AF59" i="34"/>
  <c r="AF58" i="34"/>
  <c r="U65" i="34"/>
  <c r="AF50" i="34"/>
  <c r="AF51" i="34"/>
  <c r="Q66" i="34"/>
  <c r="AB59" i="34"/>
  <c r="AB58" i="34"/>
  <c r="Q65" i="34"/>
  <c r="AB51" i="34"/>
  <c r="AB50" i="34"/>
  <c r="T66" i="34"/>
  <c r="AE59" i="34"/>
  <c r="AE58" i="34"/>
  <c r="T65" i="34"/>
  <c r="AE51" i="34"/>
  <c r="AE50" i="34"/>
  <c r="AA42" i="34"/>
  <c r="AA41" i="34"/>
  <c r="Q63" i="34"/>
  <c r="AB22" i="34"/>
  <c r="AB23" i="34"/>
  <c r="U63" i="34"/>
  <c r="AF23" i="34"/>
  <c r="AF22" i="34"/>
  <c r="O64" i="34"/>
  <c r="Z32" i="34"/>
  <c r="Z31" i="34"/>
  <c r="AE12" i="34"/>
  <c r="AE11" i="34"/>
  <c r="T63" i="34"/>
  <c r="AE23" i="34"/>
  <c r="AE22" i="34"/>
  <c r="R64" i="34"/>
  <c r="AC31" i="34"/>
  <c r="AC32" i="34"/>
  <c r="AD12" i="34"/>
  <c r="AD11" i="34"/>
  <c r="AD42" i="34"/>
  <c r="AD41" i="34"/>
  <c r="Z23" i="34"/>
  <c r="Z22" i="34"/>
  <c r="U64" i="34"/>
  <c r="AF32" i="34"/>
  <c r="AF31" i="34"/>
  <c r="AA11" i="34"/>
  <c r="AA12" i="34"/>
  <c r="AC12" i="34"/>
  <c r="AC11" i="34"/>
  <c r="AF12" i="34"/>
  <c r="AF11" i="34"/>
  <c r="AF41" i="34"/>
  <c r="AF42" i="34"/>
  <c r="S63" i="34"/>
  <c r="AD22" i="34"/>
  <c r="AD23" i="34"/>
  <c r="AB31" i="34"/>
  <c r="AB32" i="34"/>
  <c r="T64" i="34"/>
  <c r="AE32" i="34"/>
  <c r="AE31" i="34"/>
  <c r="Z12" i="34"/>
  <c r="Z11" i="34"/>
  <c r="S64" i="34"/>
  <c r="AD32" i="34"/>
  <c r="AD31" i="34"/>
  <c r="AC42" i="34"/>
  <c r="AC41" i="34"/>
  <c r="AA22" i="34"/>
  <c r="AA23" i="34"/>
  <c r="AB11" i="34"/>
  <c r="AB12" i="34"/>
  <c r="AB42" i="34"/>
  <c r="AB41" i="34"/>
  <c r="R63" i="34"/>
  <c r="AC22" i="34"/>
  <c r="AC23" i="34"/>
  <c r="P64" i="34"/>
  <c r="AA31" i="34"/>
  <c r="AA32" i="34"/>
  <c r="Q64" i="34"/>
  <c r="P63" i="34"/>
  <c r="O63" i="34"/>
  <c r="E57" i="34"/>
  <c r="F57" i="34"/>
  <c r="G57" i="34"/>
  <c r="H57" i="34"/>
  <c r="I57" i="34"/>
  <c r="J57" i="34"/>
  <c r="D57" i="34"/>
  <c r="E49" i="34"/>
  <c r="F49" i="34"/>
  <c r="G49" i="34"/>
  <c r="H49" i="34"/>
  <c r="I49" i="34"/>
  <c r="J49" i="34"/>
  <c r="D49" i="34"/>
  <c r="E40" i="34"/>
  <c r="F40" i="34"/>
  <c r="G40" i="34"/>
  <c r="H40" i="34"/>
  <c r="I40" i="34"/>
  <c r="J40" i="34"/>
  <c r="D40" i="34"/>
  <c r="E30" i="34"/>
  <c r="F30" i="34"/>
  <c r="G30" i="34"/>
  <c r="H30" i="34"/>
  <c r="I30" i="34"/>
  <c r="J30" i="34"/>
  <c r="D30" i="34"/>
  <c r="E21" i="34"/>
  <c r="F21" i="34"/>
  <c r="G21" i="34"/>
  <c r="H21" i="34"/>
  <c r="I21" i="34"/>
  <c r="J21" i="34"/>
  <c r="D21" i="34"/>
  <c r="E10" i="34"/>
  <c r="F10" i="34"/>
  <c r="M14" i="34" s="1"/>
  <c r="G10" i="34"/>
  <c r="N14" i="34" s="1"/>
  <c r="H10" i="34"/>
  <c r="O14" i="34" s="1"/>
  <c r="I10" i="34"/>
  <c r="P14" i="34" s="1"/>
  <c r="J10" i="34"/>
  <c r="Q14" i="34" s="1"/>
  <c r="D10" i="34"/>
  <c r="K14" i="34" s="1"/>
  <c r="AU94" i="33"/>
  <c r="AU93" i="33"/>
  <c r="AU92" i="33"/>
  <c r="AU91" i="33"/>
  <c r="AU90" i="33"/>
  <c r="AU89" i="33"/>
  <c r="AU88" i="33"/>
  <c r="AU87" i="33"/>
  <c r="AU82" i="33"/>
  <c r="AU81" i="33"/>
  <c r="AU80" i="33"/>
  <c r="AU79" i="33"/>
  <c r="AU78" i="33"/>
  <c r="AU77" i="33"/>
  <c r="AU76" i="33"/>
  <c r="AU75" i="33"/>
  <c r="AU70" i="33"/>
  <c r="AU69" i="33"/>
  <c r="AU68" i="33"/>
  <c r="AU67" i="33"/>
  <c r="AU66" i="33"/>
  <c r="AU65" i="33"/>
  <c r="AU64" i="33"/>
  <c r="AU63" i="33"/>
  <c r="AU58" i="33"/>
  <c r="AU57" i="33"/>
  <c r="AU56" i="33"/>
  <c r="AU55" i="33"/>
  <c r="AU54" i="33"/>
  <c r="AU53" i="33"/>
  <c r="AU52" i="33"/>
  <c r="AU51" i="33"/>
  <c r="AU46" i="33"/>
  <c r="AU45" i="33"/>
  <c r="AU44" i="33"/>
  <c r="AU43" i="33"/>
  <c r="AU42" i="33"/>
  <c r="AU41" i="33"/>
  <c r="AU40" i="33"/>
  <c r="AU39" i="33"/>
  <c r="AU34" i="33"/>
  <c r="AU33" i="33"/>
  <c r="AU32" i="33"/>
  <c r="AU31" i="33"/>
  <c r="AU30" i="33"/>
  <c r="AU29" i="33"/>
  <c r="AU28" i="33"/>
  <c r="AU27" i="33"/>
  <c r="AU22" i="33"/>
  <c r="AU21" i="33"/>
  <c r="AU20" i="33"/>
  <c r="AU19" i="33"/>
  <c r="AU18" i="33"/>
  <c r="AU17" i="33"/>
  <c r="AU16" i="33"/>
  <c r="AU15" i="33"/>
  <c r="AU10" i="33"/>
  <c r="AU9" i="33"/>
  <c r="AU8" i="33"/>
  <c r="AU7" i="33"/>
  <c r="AU6" i="33"/>
  <c r="AU5" i="33"/>
  <c r="AU4" i="33"/>
  <c r="AU3" i="33"/>
  <c r="AO98" i="33"/>
  <c r="AO97" i="33"/>
  <c r="AO96" i="33"/>
  <c r="AO95" i="33"/>
  <c r="AO94" i="33"/>
  <c r="AO93" i="33"/>
  <c r="AO92" i="33"/>
  <c r="AO91" i="33"/>
  <c r="AO90" i="33"/>
  <c r="AO89" i="33"/>
  <c r="AO88" i="33"/>
  <c r="AO87" i="33"/>
  <c r="AO86" i="33"/>
  <c r="AO85" i="33"/>
  <c r="AO84" i="33"/>
  <c r="AO83" i="33"/>
  <c r="AO82" i="33"/>
  <c r="AO81" i="33"/>
  <c r="AO80" i="33"/>
  <c r="AO79" i="33"/>
  <c r="AO78" i="33"/>
  <c r="AO77" i="33"/>
  <c r="AO76" i="33"/>
  <c r="AO75" i="33"/>
  <c r="AO74" i="33"/>
  <c r="AO73" i="33"/>
  <c r="AO72" i="33"/>
  <c r="AO71" i="33"/>
  <c r="AO70" i="33"/>
  <c r="AO69" i="33"/>
  <c r="AO68" i="33"/>
  <c r="AO67" i="33"/>
  <c r="AO66" i="33"/>
  <c r="AO65" i="33"/>
  <c r="AO64" i="33"/>
  <c r="AO63" i="33"/>
  <c r="AO62" i="33"/>
  <c r="AO61" i="33"/>
  <c r="AO60" i="33"/>
  <c r="AO59" i="33"/>
  <c r="AO58" i="33"/>
  <c r="AO57" i="33"/>
  <c r="AO56" i="33"/>
  <c r="AO55" i="33"/>
  <c r="AO54" i="33"/>
  <c r="AO53" i="33"/>
  <c r="AO52" i="33"/>
  <c r="AO51" i="33"/>
  <c r="AO50" i="33"/>
  <c r="AO49" i="33"/>
  <c r="AO48" i="33"/>
  <c r="AO47" i="33"/>
  <c r="AO46" i="33"/>
  <c r="AO45" i="33"/>
  <c r="AO44" i="33"/>
  <c r="AO43" i="33"/>
  <c r="AO42" i="33"/>
  <c r="AO41" i="33"/>
  <c r="AO40" i="33"/>
  <c r="AO39" i="33"/>
  <c r="AO38" i="33"/>
  <c r="AO37" i="33"/>
  <c r="AO36" i="33"/>
  <c r="AO35" i="33"/>
  <c r="AO34" i="33"/>
  <c r="AO33" i="33"/>
  <c r="AO32" i="33"/>
  <c r="AO31" i="33"/>
  <c r="AO30" i="33"/>
  <c r="AO29" i="33"/>
  <c r="AO28" i="33"/>
  <c r="AO27" i="33"/>
  <c r="AO26" i="33"/>
  <c r="AO25" i="33"/>
  <c r="AO24" i="33"/>
  <c r="AO23" i="33"/>
  <c r="AO22" i="33"/>
  <c r="AO21" i="33"/>
  <c r="AO20" i="33"/>
  <c r="AO19" i="33"/>
  <c r="AO18" i="33"/>
  <c r="AO17" i="33"/>
  <c r="AO16" i="33"/>
  <c r="AO15" i="33"/>
  <c r="AO14" i="33"/>
  <c r="AO13" i="33"/>
  <c r="AO12" i="33"/>
  <c r="AO11" i="33"/>
  <c r="AO10" i="33"/>
  <c r="AO9" i="33"/>
  <c r="AO8" i="33"/>
  <c r="AP80" i="33" s="1"/>
  <c r="AO7" i="33"/>
  <c r="AP79" i="33" s="1"/>
  <c r="AO6" i="33"/>
  <c r="AO5" i="33"/>
  <c r="AO4" i="33"/>
  <c r="AP64" i="33" s="1"/>
  <c r="AO3" i="33"/>
  <c r="AI98" i="33"/>
  <c r="AI97" i="33"/>
  <c r="AI96" i="33"/>
  <c r="AI95" i="33"/>
  <c r="AI94" i="33"/>
  <c r="AI93" i="33"/>
  <c r="AI92" i="33"/>
  <c r="AI91" i="33"/>
  <c r="AI90" i="33"/>
  <c r="AI89" i="33"/>
  <c r="AI88" i="33"/>
  <c r="AI87" i="33"/>
  <c r="AI86" i="33"/>
  <c r="AI85" i="33"/>
  <c r="AI84" i="33"/>
  <c r="AI83" i="33"/>
  <c r="AI82" i="33"/>
  <c r="AI81" i="33"/>
  <c r="AI80" i="33"/>
  <c r="AI79" i="33"/>
  <c r="AI78" i="33"/>
  <c r="AI77" i="33"/>
  <c r="AI76" i="33"/>
  <c r="AI75" i="33"/>
  <c r="AI74" i="33"/>
  <c r="AI73" i="33"/>
  <c r="AI72" i="33"/>
  <c r="AI71" i="33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J97" i="33" s="1"/>
  <c r="AI12" i="33"/>
  <c r="AJ96" i="33" s="1"/>
  <c r="AI11" i="33"/>
  <c r="AJ83" i="33" s="1"/>
  <c r="AI10" i="33"/>
  <c r="AI9" i="33"/>
  <c r="AJ93" i="33" s="1"/>
  <c r="AI8" i="33"/>
  <c r="AI7" i="33"/>
  <c r="AJ91" i="33" s="1"/>
  <c r="AI6" i="33"/>
  <c r="AI5" i="33"/>
  <c r="AJ89" i="33" s="1"/>
  <c r="AI4" i="33"/>
  <c r="AJ88" i="33" s="1"/>
  <c r="AI3" i="33"/>
  <c r="AC4" i="33"/>
  <c r="AC5" i="33"/>
  <c r="AC6" i="33"/>
  <c r="AC7" i="33"/>
  <c r="AC8" i="33"/>
  <c r="AC9" i="33"/>
  <c r="AC10" i="33"/>
  <c r="AC11" i="33"/>
  <c r="AC12" i="33"/>
  <c r="AC13" i="33"/>
  <c r="AC14" i="33"/>
  <c r="AC15" i="33"/>
  <c r="AC16" i="33"/>
  <c r="AD16" i="33" s="1"/>
  <c r="AC17" i="33"/>
  <c r="AC18" i="33"/>
  <c r="AC19" i="33"/>
  <c r="AC20" i="33"/>
  <c r="AC21" i="33"/>
  <c r="AC22" i="33"/>
  <c r="AC23" i="33"/>
  <c r="AD23" i="33" s="1"/>
  <c r="AE23" i="33" s="1"/>
  <c r="AC24" i="33"/>
  <c r="AD24" i="33" s="1"/>
  <c r="AC25" i="33"/>
  <c r="AC26" i="33"/>
  <c r="AC27" i="33"/>
  <c r="AC28" i="33"/>
  <c r="AC29" i="33"/>
  <c r="AD29" i="33" s="1"/>
  <c r="AC30" i="33"/>
  <c r="AC31" i="33"/>
  <c r="AD31" i="33" s="1"/>
  <c r="AC32" i="33"/>
  <c r="AD32" i="33" s="1"/>
  <c r="AC33" i="33"/>
  <c r="AC34" i="33"/>
  <c r="AC35" i="33"/>
  <c r="AC36" i="33"/>
  <c r="AD36" i="33" s="1"/>
  <c r="AC37" i="33"/>
  <c r="AC38" i="33"/>
  <c r="AD38" i="33" s="1"/>
  <c r="AC39" i="33"/>
  <c r="AC40" i="33"/>
  <c r="AD40" i="33" s="1"/>
  <c r="AC41" i="33"/>
  <c r="AD41" i="33" s="1"/>
  <c r="AC42" i="33"/>
  <c r="AC43" i="33"/>
  <c r="AD43" i="33" s="1"/>
  <c r="AC44" i="33"/>
  <c r="AC45" i="33"/>
  <c r="AC46" i="33"/>
  <c r="AD46" i="33" s="1"/>
  <c r="AC47" i="33"/>
  <c r="AC48" i="33"/>
  <c r="AD48" i="33" s="1"/>
  <c r="AC49" i="33"/>
  <c r="AC50" i="33"/>
  <c r="AD50" i="33" s="1"/>
  <c r="AC51" i="33"/>
  <c r="AC52" i="33"/>
  <c r="AD52" i="33" s="1"/>
  <c r="AC53" i="33"/>
  <c r="AD53" i="33" s="1"/>
  <c r="AC54" i="33"/>
  <c r="AC55" i="33"/>
  <c r="AD55" i="33" s="1"/>
  <c r="AC56" i="33"/>
  <c r="AC57" i="33"/>
  <c r="AC58" i="33"/>
  <c r="AD58" i="33" s="1"/>
  <c r="AC59" i="33"/>
  <c r="AC60" i="33"/>
  <c r="AD60" i="33" s="1"/>
  <c r="AC61" i="33"/>
  <c r="AC62" i="33"/>
  <c r="AD62" i="33" s="1"/>
  <c r="AC63" i="33"/>
  <c r="AC64" i="33"/>
  <c r="AC65" i="33"/>
  <c r="AD65" i="33" s="1"/>
  <c r="AC66" i="33"/>
  <c r="AD66" i="33" s="1"/>
  <c r="AC67" i="33"/>
  <c r="AD67" i="33" s="1"/>
  <c r="AC68" i="33"/>
  <c r="AD68" i="33" s="1"/>
  <c r="AC69" i="33"/>
  <c r="AC70" i="33"/>
  <c r="AD70" i="33" s="1"/>
  <c r="AC71" i="33"/>
  <c r="AC72" i="33"/>
  <c r="AD72" i="33" s="1"/>
  <c r="AC73" i="33"/>
  <c r="AD73" i="33" s="1"/>
  <c r="AC74" i="33"/>
  <c r="AD74" i="33" s="1"/>
  <c r="AC75" i="33"/>
  <c r="AC76" i="33"/>
  <c r="AD76" i="33" s="1"/>
  <c r="AC77" i="33"/>
  <c r="AD77" i="33" s="1"/>
  <c r="AC78" i="33"/>
  <c r="AC79" i="33"/>
  <c r="AD79" i="33" s="1"/>
  <c r="AC80" i="33"/>
  <c r="AD80" i="33" s="1"/>
  <c r="AC81" i="33"/>
  <c r="AC82" i="33"/>
  <c r="AD82" i="33" s="1"/>
  <c r="AC83" i="33"/>
  <c r="AC84" i="33"/>
  <c r="AD84" i="33" s="1"/>
  <c r="AC85" i="33"/>
  <c r="AD85" i="33" s="1"/>
  <c r="AC86" i="33"/>
  <c r="AD86" i="33" s="1"/>
  <c r="AC87" i="33"/>
  <c r="AC88" i="33"/>
  <c r="AD88" i="33" s="1"/>
  <c r="AC89" i="33"/>
  <c r="AD89" i="33" s="1"/>
  <c r="AC90" i="33"/>
  <c r="AD90" i="33" s="1"/>
  <c r="AC91" i="33"/>
  <c r="AD91" i="33" s="1"/>
  <c r="AC92" i="33"/>
  <c r="AC93" i="33"/>
  <c r="AC94" i="33"/>
  <c r="AD94" i="33" s="1"/>
  <c r="AC95" i="33"/>
  <c r="AD95" i="33" s="1"/>
  <c r="AC96" i="33"/>
  <c r="AD96" i="33" s="1"/>
  <c r="AC97" i="33"/>
  <c r="AC98" i="33"/>
  <c r="AD98" i="33" s="1"/>
  <c r="AC3" i="33"/>
  <c r="O10" i="32"/>
  <c r="AD19" i="33" l="1"/>
  <c r="AV79" i="33"/>
  <c r="AD49" i="33"/>
  <c r="AE49" i="33" s="1"/>
  <c r="AD61" i="33"/>
  <c r="AD97" i="33"/>
  <c r="AD25" i="33"/>
  <c r="AD37" i="33"/>
  <c r="AD34" i="33"/>
  <c r="AV44" i="33"/>
  <c r="AD22" i="33"/>
  <c r="AV43" i="33"/>
  <c r="AW43" i="33" s="1"/>
  <c r="AD47" i="33"/>
  <c r="AE47" i="33" s="1"/>
  <c r="AD83" i="33"/>
  <c r="AD71" i="33"/>
  <c r="AE71" i="33" s="1"/>
  <c r="AD59" i="33"/>
  <c r="AE59" i="33" s="1"/>
  <c r="K4" i="34"/>
  <c r="AP78" i="33"/>
  <c r="AP43" i="33"/>
  <c r="AP55" i="33"/>
  <c r="AD81" i="33"/>
  <c r="AE81" i="33" s="1"/>
  <c r="AD33" i="33"/>
  <c r="AP91" i="33"/>
  <c r="AV92" i="33"/>
  <c r="AV82" i="33"/>
  <c r="AP67" i="33"/>
  <c r="AV81" i="33"/>
  <c r="AD35" i="33"/>
  <c r="AE35" i="33" s="1"/>
  <c r="AV21" i="33"/>
  <c r="AV57" i="33"/>
  <c r="AV93" i="33"/>
  <c r="AJ43" i="33"/>
  <c r="AJ79" i="33"/>
  <c r="AP19" i="33"/>
  <c r="AP31" i="33"/>
  <c r="AV56" i="33"/>
  <c r="AP18" i="33"/>
  <c r="AD93" i="33"/>
  <c r="AJ16" i="33"/>
  <c r="AD42" i="33"/>
  <c r="AE41" i="33" s="1"/>
  <c r="AJ19" i="33"/>
  <c r="AJ31" i="33"/>
  <c r="AD69" i="33"/>
  <c r="AE69" i="33" s="1"/>
  <c r="AD30" i="33"/>
  <c r="AE29" i="33" s="1"/>
  <c r="AP32" i="33"/>
  <c r="AP44" i="33"/>
  <c r="AP56" i="33"/>
  <c r="AP68" i="33"/>
  <c r="AP92" i="33"/>
  <c r="AV80" i="33"/>
  <c r="AW79" i="33" s="1"/>
  <c r="AD21" i="33"/>
  <c r="AJ72" i="33"/>
  <c r="AD57" i="33"/>
  <c r="AE57" i="33" s="1"/>
  <c r="AD78" i="33"/>
  <c r="AE77" i="33" s="1"/>
  <c r="AD45" i="33"/>
  <c r="AE45" i="33" s="1"/>
  <c r="AD18" i="33"/>
  <c r="L18" i="34"/>
  <c r="L14" i="34"/>
  <c r="AD54" i="33"/>
  <c r="AE53" i="33" s="1"/>
  <c r="AP25" i="33"/>
  <c r="AP37" i="33"/>
  <c r="AP16" i="33"/>
  <c r="AP52" i="33"/>
  <c r="AJ65" i="33"/>
  <c r="AP41" i="33"/>
  <c r="AJ74" i="33"/>
  <c r="AV20" i="33"/>
  <c r="AJ49" i="33"/>
  <c r="AP49" i="33"/>
  <c r="AP73" i="33"/>
  <c r="AP85" i="33"/>
  <c r="AP97" i="33"/>
  <c r="AJ55" i="33"/>
  <c r="AP77" i="33"/>
  <c r="AP20" i="33"/>
  <c r="AV28" i="33"/>
  <c r="AP21" i="33"/>
  <c r="AP93" i="33"/>
  <c r="AJ41" i="33"/>
  <c r="AP59" i="33"/>
  <c r="AP36" i="33"/>
  <c r="AV32" i="33"/>
  <c r="AV52" i="33"/>
  <c r="AJ25" i="33"/>
  <c r="AV51" i="33"/>
  <c r="AV19" i="33"/>
  <c r="AV55" i="33"/>
  <c r="AV91" i="33"/>
  <c r="AP61" i="33"/>
  <c r="AJ54" i="33"/>
  <c r="AV70" i="33"/>
  <c r="AV46" i="33"/>
  <c r="AJ24" i="33"/>
  <c r="AJ36" i="33"/>
  <c r="AJ48" i="33"/>
  <c r="AJ84" i="33"/>
  <c r="AK83" i="33" s="1"/>
  <c r="AP24" i="33"/>
  <c r="AP60" i="33"/>
  <c r="AP72" i="33"/>
  <c r="AP96" i="33"/>
  <c r="AV68" i="33"/>
  <c r="AV34" i="33"/>
  <c r="AJ52" i="33"/>
  <c r="AJ76" i="33"/>
  <c r="AJ60" i="33"/>
  <c r="AJ15" i="33"/>
  <c r="AJ29" i="33"/>
  <c r="AJ53" i="33"/>
  <c r="AJ77" i="33"/>
  <c r="AP17" i="33"/>
  <c r="AP29" i="33"/>
  <c r="AP53" i="33"/>
  <c r="AP65" i="33"/>
  <c r="AP89" i="33"/>
  <c r="AV89" i="33"/>
  <c r="AW89" i="33" s="1"/>
  <c r="AJ75" i="33"/>
  <c r="AJ18" i="33"/>
  <c r="AJ78" i="33"/>
  <c r="AP66" i="33"/>
  <c r="AV66" i="33"/>
  <c r="AV22" i="33"/>
  <c r="AV58" i="33"/>
  <c r="AV94" i="33"/>
  <c r="AD28" i="33"/>
  <c r="AD64" i="33"/>
  <c r="AJ51" i="33"/>
  <c r="AP33" i="33"/>
  <c r="AP45" i="33"/>
  <c r="AP57" i="33"/>
  <c r="AP69" i="33"/>
  <c r="AP81" i="33"/>
  <c r="AV69" i="33"/>
  <c r="AV45" i="33"/>
  <c r="AV65" i="33"/>
  <c r="AJ47" i="33"/>
  <c r="AJ71" i="33"/>
  <c r="AP23" i="33"/>
  <c r="AP35" i="33"/>
  <c r="AP47" i="33"/>
  <c r="AP71" i="33"/>
  <c r="AP83" i="33"/>
  <c r="AP95" i="33"/>
  <c r="AV31" i="33"/>
  <c r="AP48" i="33"/>
  <c r="AP84" i="33"/>
  <c r="AV29" i="33"/>
  <c r="AV30" i="33"/>
  <c r="AJ26" i="33"/>
  <c r="AJ38" i="33"/>
  <c r="AJ50" i="33"/>
  <c r="AJ62" i="33"/>
  <c r="AJ86" i="33"/>
  <c r="AJ98" i="33"/>
  <c r="AK97" i="33" s="1"/>
  <c r="AV18" i="33"/>
  <c r="AV54" i="33"/>
  <c r="AV90" i="33"/>
  <c r="AD56" i="33"/>
  <c r="AE55" i="33" s="1"/>
  <c r="AJ39" i="33"/>
  <c r="AJ63" i="33"/>
  <c r="AJ87" i="33"/>
  <c r="AV39" i="33"/>
  <c r="AV33" i="33"/>
  <c r="AJ28" i="33"/>
  <c r="AJ40" i="33"/>
  <c r="AJ64" i="33"/>
  <c r="AP28" i="33"/>
  <c r="AP40" i="33"/>
  <c r="AP76" i="33"/>
  <c r="AP88" i="33"/>
  <c r="AV88" i="33"/>
  <c r="AJ42" i="33"/>
  <c r="AD20" i="33"/>
  <c r="AJ30" i="33"/>
  <c r="AJ66" i="33"/>
  <c r="AJ90" i="33"/>
  <c r="AK89" i="33" s="1"/>
  <c r="AV17" i="33"/>
  <c r="AD92" i="33"/>
  <c r="AE91" i="33" s="1"/>
  <c r="AV75" i="33"/>
  <c r="AD44" i="33"/>
  <c r="AE43" i="33" s="1"/>
  <c r="AV53" i="33"/>
  <c r="AJ27" i="33"/>
  <c r="AV15" i="33"/>
  <c r="AJ17" i="33"/>
  <c r="AD26" i="33"/>
  <c r="AP54" i="33"/>
  <c r="AV87" i="33"/>
  <c r="AV63" i="33"/>
  <c r="AP42" i="33"/>
  <c r="AP90" i="33"/>
  <c r="AV27" i="33"/>
  <c r="AP30" i="33"/>
  <c r="AJ37" i="33"/>
  <c r="AP26" i="33"/>
  <c r="AP38" i="33"/>
  <c r="AP50" i="33"/>
  <c r="AP62" i="33"/>
  <c r="AP74" i="33"/>
  <c r="AP86" i="33"/>
  <c r="AP98" i="33"/>
  <c r="AJ67" i="33"/>
  <c r="AJ85" i="33"/>
  <c r="AP15" i="33"/>
  <c r="AP27" i="33"/>
  <c r="AP39" i="33"/>
  <c r="AP51" i="33"/>
  <c r="AP63" i="33"/>
  <c r="AP75" i="33"/>
  <c r="AP87" i="33"/>
  <c r="AV40" i="33"/>
  <c r="AV76" i="33"/>
  <c r="AV41" i="33"/>
  <c r="AV77" i="33"/>
  <c r="AW77" i="33" s="1"/>
  <c r="AJ73" i="33"/>
  <c r="AV42" i="33"/>
  <c r="AV78" i="33"/>
  <c r="AJ59" i="33"/>
  <c r="AV64" i="33"/>
  <c r="AJ20" i="33"/>
  <c r="AJ32" i="33"/>
  <c r="AJ44" i="33"/>
  <c r="AJ56" i="33"/>
  <c r="AJ68" i="33"/>
  <c r="AJ80" i="33"/>
  <c r="AJ92" i="33"/>
  <c r="AK91" i="33" s="1"/>
  <c r="AJ95" i="33"/>
  <c r="AK95" i="33" s="1"/>
  <c r="AJ21" i="33"/>
  <c r="AJ33" i="33"/>
  <c r="AJ61" i="33"/>
  <c r="AK61" i="33" s="1"/>
  <c r="AJ22" i="33"/>
  <c r="AJ34" i="33"/>
  <c r="AJ46" i="33"/>
  <c r="AJ58" i="33"/>
  <c r="AJ70" i="33"/>
  <c r="AJ82" i="33"/>
  <c r="AJ94" i="33"/>
  <c r="AK93" i="33" s="1"/>
  <c r="AJ23" i="33"/>
  <c r="AJ35" i="33"/>
  <c r="AP22" i="33"/>
  <c r="AP34" i="33"/>
  <c r="AP46" i="33"/>
  <c r="AP58" i="33"/>
  <c r="AP70" i="33"/>
  <c r="AP82" i="33"/>
  <c r="AP94" i="33"/>
  <c r="AV67" i="33"/>
  <c r="AV16" i="33"/>
  <c r="Q53" i="34"/>
  <c r="Q34" i="34"/>
  <c r="Q33" i="34"/>
  <c r="Q56" i="34"/>
  <c r="Q47" i="34"/>
  <c r="Q38" i="34"/>
  <c r="Q46" i="34"/>
  <c r="Q52" i="34"/>
  <c r="Q55" i="34"/>
  <c r="Q35" i="34"/>
  <c r="Q39" i="34"/>
  <c r="Q44" i="34"/>
  <c r="Q45" i="34"/>
  <c r="K38" i="34"/>
  <c r="K44" i="34"/>
  <c r="K46" i="34"/>
  <c r="K52" i="34"/>
  <c r="K55" i="34"/>
  <c r="K35" i="34"/>
  <c r="K39" i="34"/>
  <c r="K33" i="34"/>
  <c r="K45" i="34"/>
  <c r="K47" i="34"/>
  <c r="K34" i="34"/>
  <c r="K53" i="34"/>
  <c r="K56" i="34"/>
  <c r="P45" i="34"/>
  <c r="P34" i="34"/>
  <c r="P33" i="34"/>
  <c r="P56" i="34"/>
  <c r="P38" i="34"/>
  <c r="P44" i="34"/>
  <c r="P55" i="34"/>
  <c r="P35" i="34"/>
  <c r="P39" i="34"/>
  <c r="K17" i="34"/>
  <c r="K27" i="34"/>
  <c r="K7" i="34"/>
  <c r="K19" i="34"/>
  <c r="K29" i="34"/>
  <c r="K24" i="34"/>
  <c r="K5" i="34"/>
  <c r="K26" i="34"/>
  <c r="K28" i="34"/>
  <c r="K16" i="34"/>
  <c r="K8" i="34"/>
  <c r="K20" i="34"/>
  <c r="K25" i="34"/>
  <c r="O45" i="34"/>
  <c r="O53" i="34"/>
  <c r="O47" i="34"/>
  <c r="O33" i="34"/>
  <c r="O56" i="34"/>
  <c r="O38" i="34"/>
  <c r="O46" i="34"/>
  <c r="O52" i="34"/>
  <c r="O55" i="34"/>
  <c r="O35" i="34"/>
  <c r="O44" i="34"/>
  <c r="O34" i="34"/>
  <c r="Q18" i="34"/>
  <c r="Q28" i="34"/>
  <c r="Q29" i="34"/>
  <c r="Q8" i="34"/>
  <c r="Q25" i="34"/>
  <c r="Q17" i="34"/>
  <c r="Q27" i="34"/>
  <c r="Q7" i="34"/>
  <c r="Q19" i="34"/>
  <c r="Q4" i="34"/>
  <c r="Q24" i="34"/>
  <c r="Q5" i="34"/>
  <c r="Q20" i="34"/>
  <c r="Q16" i="34"/>
  <c r="Q26" i="34"/>
  <c r="N47" i="34"/>
  <c r="N34" i="34"/>
  <c r="N53" i="34"/>
  <c r="N38" i="34"/>
  <c r="N55" i="34"/>
  <c r="N46" i="34"/>
  <c r="N52" i="34"/>
  <c r="N35" i="34"/>
  <c r="N44" i="34"/>
  <c r="N39" i="34"/>
  <c r="N33" i="34"/>
  <c r="N45" i="34"/>
  <c r="N56" i="34"/>
  <c r="P8" i="34"/>
  <c r="P20" i="34"/>
  <c r="P25" i="34"/>
  <c r="P17" i="34"/>
  <c r="P27" i="34"/>
  <c r="P7" i="34"/>
  <c r="P19" i="34"/>
  <c r="P29" i="34"/>
  <c r="P4" i="34"/>
  <c r="P26" i="34"/>
  <c r="P24" i="34"/>
  <c r="P5" i="34"/>
  <c r="P16" i="34"/>
  <c r="P18" i="34"/>
  <c r="P28" i="34"/>
  <c r="M34" i="34"/>
  <c r="M53" i="34"/>
  <c r="M38" i="34"/>
  <c r="M33" i="34"/>
  <c r="M56" i="34"/>
  <c r="M46" i="34"/>
  <c r="M52" i="34"/>
  <c r="M55" i="34"/>
  <c r="M35" i="34"/>
  <c r="M44" i="34"/>
  <c r="M45" i="34"/>
  <c r="M47" i="34"/>
  <c r="O8" i="34"/>
  <c r="O20" i="34"/>
  <c r="O25" i="34"/>
  <c r="O17" i="34"/>
  <c r="O27" i="34"/>
  <c r="O7" i="34"/>
  <c r="O19" i="34"/>
  <c r="O29" i="34"/>
  <c r="O4" i="34"/>
  <c r="O24" i="34"/>
  <c r="O5" i="34"/>
  <c r="O16" i="34"/>
  <c r="O26" i="34"/>
  <c r="O18" i="34"/>
  <c r="O28" i="34"/>
  <c r="L33" i="34"/>
  <c r="L56" i="34"/>
  <c r="L38" i="34"/>
  <c r="L46" i="34"/>
  <c r="L52" i="34"/>
  <c r="L55" i="34"/>
  <c r="L35" i="34"/>
  <c r="L44" i="34"/>
  <c r="L39" i="34"/>
  <c r="L47" i="34"/>
  <c r="L45" i="34"/>
  <c r="L34" i="34"/>
  <c r="L53" i="34"/>
  <c r="N25" i="34"/>
  <c r="N17" i="34"/>
  <c r="N27" i="34"/>
  <c r="N7" i="34"/>
  <c r="N19" i="34"/>
  <c r="N29" i="34"/>
  <c r="N4" i="34"/>
  <c r="N24" i="34"/>
  <c r="N5" i="34"/>
  <c r="N16" i="34"/>
  <c r="N26" i="34"/>
  <c r="N18" i="34"/>
  <c r="N28" i="34"/>
  <c r="N8" i="34"/>
  <c r="N20" i="34"/>
  <c r="M25" i="34"/>
  <c r="M7" i="34"/>
  <c r="M19" i="34"/>
  <c r="M29" i="34"/>
  <c r="M27" i="34"/>
  <c r="M4" i="34"/>
  <c r="M26" i="34"/>
  <c r="M24" i="34"/>
  <c r="M5" i="34"/>
  <c r="M18" i="34"/>
  <c r="M8" i="34"/>
  <c r="M20" i="34"/>
  <c r="M17" i="34"/>
  <c r="L17" i="34"/>
  <c r="L27" i="34"/>
  <c r="L29" i="34"/>
  <c r="L4" i="34"/>
  <c r="L24" i="34"/>
  <c r="L5" i="34"/>
  <c r="L26" i="34"/>
  <c r="L16" i="34"/>
  <c r="L28" i="34"/>
  <c r="L7" i="34"/>
  <c r="L8" i="34"/>
  <c r="L20" i="34"/>
  <c r="L19" i="34"/>
  <c r="L25" i="34"/>
  <c r="AJ45" i="33"/>
  <c r="AJ57" i="33"/>
  <c r="AJ69" i="33"/>
  <c r="AJ81" i="33"/>
  <c r="AD17" i="33"/>
  <c r="AQ79" i="33"/>
  <c r="AE65" i="33"/>
  <c r="AE97" i="33"/>
  <c r="AE61" i="33"/>
  <c r="AE73" i="33"/>
  <c r="AE85" i="33"/>
  <c r="AE95" i="33"/>
  <c r="AE37" i="33"/>
  <c r="AE83" i="33"/>
  <c r="AE93" i="33"/>
  <c r="AE89" i="33"/>
  <c r="AD87" i="33"/>
  <c r="AD63" i="33"/>
  <c r="AD39" i="33"/>
  <c r="AD27" i="33"/>
  <c r="AD15" i="33"/>
  <c r="AD75" i="33"/>
  <c r="AD51" i="33"/>
  <c r="AE67" i="33"/>
  <c r="AE79" i="33"/>
  <c r="AE31" i="33"/>
  <c r="AE25" i="33" l="1"/>
  <c r="AE19" i="33"/>
  <c r="AE21" i="33"/>
  <c r="AE33" i="33"/>
  <c r="AW33" i="33"/>
  <c r="AQ77" i="33"/>
  <c r="AQ91" i="33"/>
  <c r="AK19" i="33"/>
  <c r="AQ43" i="33"/>
  <c r="AK49" i="33"/>
  <c r="AK31" i="33"/>
  <c r="AW81" i="33"/>
  <c r="AQ55" i="33"/>
  <c r="AQ31" i="33"/>
  <c r="AK73" i="33"/>
  <c r="AQ95" i="33"/>
  <c r="AQ67" i="33"/>
  <c r="AE17" i="33"/>
  <c r="AQ47" i="33"/>
  <c r="AQ93" i="33"/>
  <c r="AW91" i="33"/>
  <c r="AW21" i="33"/>
  <c r="AW93" i="33"/>
  <c r="AW57" i="33"/>
  <c r="AW55" i="33"/>
  <c r="AK47" i="33"/>
  <c r="AW31" i="33"/>
  <c r="AK55" i="33"/>
  <c r="AQ97" i="33"/>
  <c r="AK43" i="33"/>
  <c r="AQ73" i="33"/>
  <c r="AQ17" i="33"/>
  <c r="AQ59" i="33"/>
  <c r="AQ19" i="33"/>
  <c r="AQ21" i="33"/>
  <c r="AK29" i="33"/>
  <c r="AQ41" i="33"/>
  <c r="AK79" i="33"/>
  <c r="AK65" i="33"/>
  <c r="AQ23" i="33"/>
  <c r="AK71" i="33"/>
  <c r="AQ85" i="33"/>
  <c r="AQ81" i="33"/>
  <c r="AQ35" i="33"/>
  <c r="AQ69" i="33"/>
  <c r="AQ65" i="33"/>
  <c r="AQ57" i="33"/>
  <c r="AQ37" i="33"/>
  <c r="AQ25" i="33"/>
  <c r="AK59" i="33"/>
  <c r="AK77" i="33"/>
  <c r="AW53" i="33"/>
  <c r="AQ49" i="33"/>
  <c r="AK17" i="33"/>
  <c r="AQ33" i="33"/>
  <c r="AQ71" i="33"/>
  <c r="AW45" i="33"/>
  <c r="AK85" i="33"/>
  <c r="AW69" i="33"/>
  <c r="AW19" i="33"/>
  <c r="AQ89" i="33"/>
  <c r="AK41" i="33"/>
  <c r="AW29" i="33"/>
  <c r="AW65" i="33"/>
  <c r="AK81" i="33"/>
  <c r="AQ83" i="33"/>
  <c r="AK45" i="33"/>
  <c r="AQ61" i="33"/>
  <c r="AQ53" i="33"/>
  <c r="AW17" i="33"/>
  <c r="AK35" i="33"/>
  <c r="AK21" i="33"/>
  <c r="AK23" i="33"/>
  <c r="AK25" i="33"/>
  <c r="AW67" i="33"/>
  <c r="AK53" i="33"/>
  <c r="AQ45" i="33"/>
  <c r="AQ29" i="33"/>
  <c r="AK67" i="33"/>
  <c r="AK37" i="33"/>
  <c r="J70" i="34"/>
  <c r="I70" i="34"/>
  <c r="N70" i="34"/>
  <c r="K70" i="34"/>
  <c r="L70" i="34"/>
  <c r="M70" i="34"/>
  <c r="H70" i="34"/>
  <c r="AK69" i="33"/>
  <c r="AW41" i="33"/>
  <c r="AK33" i="33"/>
  <c r="AK57" i="33"/>
  <c r="L10" i="34"/>
  <c r="O40" i="34"/>
  <c r="J72" i="34"/>
  <c r="M30" i="34"/>
  <c r="M67" i="34"/>
  <c r="P30" i="34"/>
  <c r="M72" i="34"/>
  <c r="M74" i="34"/>
  <c r="P57" i="34"/>
  <c r="Q40" i="34"/>
  <c r="I71" i="34"/>
  <c r="L40" i="34"/>
  <c r="M57" i="34"/>
  <c r="J74" i="34"/>
  <c r="P49" i="34"/>
  <c r="M69" i="34"/>
  <c r="K40" i="34"/>
  <c r="P10" i="34"/>
  <c r="M71" i="34"/>
  <c r="N74" i="34"/>
  <c r="N40" i="34"/>
  <c r="K10" i="34"/>
  <c r="H71" i="34"/>
  <c r="N10" i="34"/>
  <c r="M40" i="34"/>
  <c r="M73" i="34"/>
  <c r="P40" i="34"/>
  <c r="M49" i="34"/>
  <c r="J73" i="34"/>
  <c r="J69" i="34"/>
  <c r="M68" i="34"/>
  <c r="P21" i="34"/>
  <c r="J71" i="34"/>
  <c r="M10" i="34"/>
  <c r="H72" i="34"/>
  <c r="H67" i="34"/>
  <c r="K30" i="34"/>
  <c r="I68" i="34"/>
  <c r="L21" i="34"/>
  <c r="K72" i="34"/>
  <c r="K67" i="34"/>
  <c r="N30" i="34"/>
  <c r="N49" i="34"/>
  <c r="K73" i="34"/>
  <c r="K69" i="34"/>
  <c r="Q21" i="34"/>
  <c r="N68" i="34"/>
  <c r="K57" i="34"/>
  <c r="H74" i="34"/>
  <c r="H68" i="34"/>
  <c r="K71" i="34"/>
  <c r="I73" i="34"/>
  <c r="I69" i="34"/>
  <c r="L49" i="34"/>
  <c r="L68" i="34"/>
  <c r="O21" i="34"/>
  <c r="Q49" i="34"/>
  <c r="N73" i="34"/>
  <c r="N69" i="34"/>
  <c r="K68" i="34"/>
  <c r="N21" i="34"/>
  <c r="I72" i="34"/>
  <c r="I67" i="34"/>
  <c r="L30" i="34"/>
  <c r="N57" i="34"/>
  <c r="K74" i="34"/>
  <c r="N72" i="34"/>
  <c r="N67" i="34"/>
  <c r="Q30" i="34"/>
  <c r="O49" i="34"/>
  <c r="L73" i="34"/>
  <c r="L69" i="34"/>
  <c r="K21" i="34"/>
  <c r="H69" i="34"/>
  <c r="K49" i="34"/>
  <c r="H73" i="34"/>
  <c r="O57" i="34"/>
  <c r="L74" i="34"/>
  <c r="J68" i="34"/>
  <c r="M21" i="34"/>
  <c r="J67" i="34"/>
  <c r="L67" i="34"/>
  <c r="O30" i="34"/>
  <c r="L72" i="34"/>
  <c r="Q10" i="34"/>
  <c r="N71" i="34"/>
  <c r="L57" i="34"/>
  <c r="I74" i="34"/>
  <c r="O10" i="34"/>
  <c r="L71" i="34"/>
  <c r="Q57" i="34"/>
  <c r="Q10" i="32"/>
  <c r="P10" i="32"/>
  <c r="R15" i="32"/>
  <c r="R16" i="32"/>
  <c r="R17" i="32"/>
  <c r="R18" i="32"/>
  <c r="R19" i="32"/>
  <c r="R20" i="32"/>
  <c r="R21" i="32"/>
  <c r="Q4" i="32"/>
  <c r="Q6" i="32"/>
  <c r="Q7" i="32"/>
  <c r="Q8" i="32"/>
  <c r="Q11" i="32"/>
  <c r="Q15" i="32"/>
  <c r="Q16" i="32"/>
  <c r="Q17" i="32"/>
  <c r="Q18" i="32"/>
  <c r="Q19" i="32"/>
  <c r="Q20" i="32"/>
  <c r="Q21" i="32"/>
  <c r="P4" i="32"/>
  <c r="P6" i="32"/>
  <c r="P7" i="32"/>
  <c r="P8" i="32"/>
  <c r="P11" i="32"/>
  <c r="P15" i="32"/>
  <c r="P16" i="32"/>
  <c r="P17" i="32"/>
  <c r="P18" i="32"/>
  <c r="P19" i="32"/>
  <c r="P20" i="32"/>
  <c r="P21" i="32"/>
  <c r="O4" i="32"/>
  <c r="O6" i="32"/>
  <c r="O7" i="32"/>
  <c r="O8" i="32"/>
  <c r="O11" i="32"/>
  <c r="J65" i="31"/>
  <c r="K65" i="31" s="1"/>
  <c r="J66" i="31"/>
  <c r="K66" i="31" s="1"/>
  <c r="J67" i="31"/>
  <c r="K67" i="31" s="1"/>
  <c r="J68" i="31"/>
  <c r="K68" i="31" s="1"/>
  <c r="J69" i="31"/>
  <c r="K69" i="31" s="1"/>
  <c r="J70" i="31"/>
  <c r="K70" i="31" s="1"/>
  <c r="I70" i="31"/>
  <c r="I69" i="31"/>
  <c r="I68" i="31"/>
  <c r="I67" i="31"/>
  <c r="I66" i="31"/>
  <c r="I65" i="31"/>
  <c r="O17" i="32"/>
  <c r="O21" i="32"/>
  <c r="O19" i="32"/>
  <c r="O18" i="32"/>
  <c r="O16" i="32"/>
  <c r="O15" i="32"/>
  <c r="N11" i="32"/>
  <c r="N8" i="32"/>
  <c r="N7" i="32"/>
  <c r="N4" i="32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K52" i="31" s="1"/>
  <c r="J53" i="31"/>
  <c r="K53" i="31" s="1"/>
  <c r="J54" i="31"/>
  <c r="K54" i="31" s="1"/>
  <c r="J55" i="31"/>
  <c r="K55" i="31" s="1"/>
  <c r="J56" i="31"/>
  <c r="K56" i="31" s="1"/>
  <c r="J57" i="31"/>
  <c r="K57" i="31" s="1"/>
  <c r="J58" i="31"/>
  <c r="K58" i="31" s="1"/>
  <c r="J59" i="31"/>
  <c r="K59" i="31" s="1"/>
  <c r="J60" i="31"/>
  <c r="K60" i="31" s="1"/>
  <c r="J61" i="31"/>
  <c r="K61" i="31" s="1"/>
  <c r="J62" i="31"/>
  <c r="K62" i="31" s="1"/>
  <c r="J63" i="31"/>
  <c r="K63" i="31" s="1"/>
  <c r="J64" i="31"/>
  <c r="K64" i="31" s="1"/>
  <c r="J3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52" i="31"/>
  <c r="P15" i="30"/>
  <c r="Q15" i="30"/>
  <c r="P20" i="30"/>
  <c r="Q20" i="30"/>
  <c r="P25" i="30"/>
  <c r="Q25" i="30"/>
  <c r="P28" i="30"/>
  <c r="Q28" i="30"/>
  <c r="P31" i="30"/>
  <c r="Q31" i="30"/>
  <c r="P36" i="30"/>
  <c r="Q36" i="30"/>
  <c r="O36" i="30"/>
  <c r="O31" i="30"/>
  <c r="O28" i="30"/>
  <c r="O25" i="30"/>
  <c r="O20" i="30"/>
  <c r="O15" i="30"/>
  <c r="P11" i="30"/>
  <c r="Q11" i="30"/>
  <c r="O11" i="30"/>
  <c r="P8" i="30"/>
  <c r="Q8" i="30"/>
  <c r="O8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N51" i="30"/>
  <c r="N50" i="30"/>
  <c r="N49" i="30"/>
  <c r="N48" i="30"/>
  <c r="N47" i="30"/>
  <c r="N46" i="30"/>
  <c r="N45" i="30"/>
  <c r="N44" i="30"/>
  <c r="N43" i="30"/>
  <c r="N42" i="30"/>
  <c r="N41" i="30"/>
  <c r="N40" i="30"/>
  <c r="M51" i="30"/>
  <c r="M49" i="30"/>
  <c r="M48" i="30"/>
  <c r="M47" i="30"/>
  <c r="M46" i="30"/>
  <c r="M45" i="30"/>
  <c r="M44" i="30"/>
  <c r="M43" i="30"/>
  <c r="M42" i="30"/>
  <c r="M41" i="30"/>
  <c r="M40" i="30"/>
  <c r="W4" i="33"/>
  <c r="W5" i="33"/>
  <c r="W6" i="33"/>
  <c r="W7" i="33"/>
  <c r="W8" i="33"/>
  <c r="W15" i="33"/>
  <c r="W16" i="33"/>
  <c r="W17" i="33"/>
  <c r="W18" i="33"/>
  <c r="W19" i="33"/>
  <c r="W20" i="33"/>
  <c r="W27" i="33"/>
  <c r="W28" i="33"/>
  <c r="X28" i="33" s="1"/>
  <c r="W29" i="33"/>
  <c r="W30" i="33"/>
  <c r="W31" i="33"/>
  <c r="X31" i="33" s="1"/>
  <c r="Y31" i="33" s="1"/>
  <c r="W32" i="33"/>
  <c r="W39" i="33"/>
  <c r="W40" i="33"/>
  <c r="W41" i="33"/>
  <c r="W42" i="33"/>
  <c r="W43" i="33"/>
  <c r="W44" i="33"/>
  <c r="W51" i="33"/>
  <c r="W52" i="33"/>
  <c r="X52" i="33" s="1"/>
  <c r="W53" i="33"/>
  <c r="X53" i="33" s="1"/>
  <c r="Y53" i="33" s="1"/>
  <c r="W54" i="33"/>
  <c r="X54" i="33" s="1"/>
  <c r="W55" i="33"/>
  <c r="X55" i="33" s="1"/>
  <c r="Y55" i="33" s="1"/>
  <c r="W56" i="33"/>
  <c r="W63" i="33"/>
  <c r="W64" i="33"/>
  <c r="W65" i="33"/>
  <c r="W66" i="33"/>
  <c r="W67" i="33"/>
  <c r="W68" i="33"/>
  <c r="W75" i="33"/>
  <c r="W76" i="33"/>
  <c r="X76" i="33" s="1"/>
  <c r="W77" i="33"/>
  <c r="X77" i="33" s="1"/>
  <c r="Y77" i="33" s="1"/>
  <c r="W78" i="33"/>
  <c r="X78" i="33" s="1"/>
  <c r="W79" i="33"/>
  <c r="X79" i="33" s="1"/>
  <c r="Y79" i="33" s="1"/>
  <c r="W80" i="33"/>
  <c r="W87" i="33"/>
  <c r="W88" i="33"/>
  <c r="W89" i="33"/>
  <c r="W90" i="33"/>
  <c r="W91" i="33"/>
  <c r="W92" i="33"/>
  <c r="W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R31" i="33" s="1"/>
  <c r="Q32" i="33"/>
  <c r="Q33" i="33"/>
  <c r="Q34" i="33"/>
  <c r="R34" i="33" s="1"/>
  <c r="Q35" i="33"/>
  <c r="Q36" i="33"/>
  <c r="R36" i="33" s="1"/>
  <c r="Q37" i="33"/>
  <c r="Q38" i="33"/>
  <c r="R38" i="33" s="1"/>
  <c r="Q39" i="33"/>
  <c r="Q40" i="33"/>
  <c r="Q41" i="33"/>
  <c r="Q42" i="33"/>
  <c r="Q43" i="33"/>
  <c r="R43" i="33" s="1"/>
  <c r="Q44" i="33"/>
  <c r="Q45" i="33"/>
  <c r="R45" i="33" s="1"/>
  <c r="Q46" i="33"/>
  <c r="R46" i="33" s="1"/>
  <c r="Q47" i="33"/>
  <c r="Q48" i="33"/>
  <c r="R48" i="33" s="1"/>
  <c r="Q49" i="33"/>
  <c r="R49" i="33" s="1"/>
  <c r="Q50" i="33"/>
  <c r="R50" i="33" s="1"/>
  <c r="Q51" i="33"/>
  <c r="Q52" i="33"/>
  <c r="Q53" i="33"/>
  <c r="Q54" i="33"/>
  <c r="R54" i="33" s="1"/>
  <c r="Q55" i="33"/>
  <c r="R55" i="33" s="1"/>
  <c r="Q56" i="33"/>
  <c r="Q57" i="33"/>
  <c r="R57" i="33" s="1"/>
  <c r="Q58" i="33"/>
  <c r="R58" i="33" s="1"/>
  <c r="Q59" i="33"/>
  <c r="Q60" i="33"/>
  <c r="R60" i="33" s="1"/>
  <c r="Q61" i="33"/>
  <c r="R61" i="33" s="1"/>
  <c r="Q62" i="33"/>
  <c r="R62" i="33" s="1"/>
  <c r="Q63" i="33"/>
  <c r="Q64" i="33"/>
  <c r="Q65" i="33"/>
  <c r="Q66" i="33"/>
  <c r="Q67" i="33"/>
  <c r="R67" i="33" s="1"/>
  <c r="Q68" i="33"/>
  <c r="Q69" i="33"/>
  <c r="R69" i="33" s="1"/>
  <c r="Q70" i="33"/>
  <c r="R70" i="33" s="1"/>
  <c r="Q71" i="33"/>
  <c r="Q72" i="33"/>
  <c r="R72" i="33" s="1"/>
  <c r="Q73" i="33"/>
  <c r="R73" i="33" s="1"/>
  <c r="Q74" i="33"/>
  <c r="R74" i="33" s="1"/>
  <c r="Q75" i="33"/>
  <c r="Q76" i="33"/>
  <c r="Q77" i="33"/>
  <c r="Q78" i="33"/>
  <c r="R78" i="33" s="1"/>
  <c r="Q79" i="33"/>
  <c r="R79" i="33" s="1"/>
  <c r="Q80" i="33"/>
  <c r="R80" i="33" s="1"/>
  <c r="Q81" i="33"/>
  <c r="R81" i="33" s="1"/>
  <c r="Q82" i="33"/>
  <c r="R82" i="33" s="1"/>
  <c r="Q83" i="33"/>
  <c r="Q84" i="33"/>
  <c r="R84" i="33" s="1"/>
  <c r="Q85" i="33"/>
  <c r="R85" i="33" s="1"/>
  <c r="Q86" i="33"/>
  <c r="R86" i="33" s="1"/>
  <c r="Q87" i="33"/>
  <c r="Q88" i="33"/>
  <c r="Q89" i="33"/>
  <c r="Q90" i="33"/>
  <c r="R90" i="33" s="1"/>
  <c r="Q91" i="33"/>
  <c r="R91" i="33" s="1"/>
  <c r="Q92" i="33"/>
  <c r="R92" i="33" s="1"/>
  <c r="Q93" i="33"/>
  <c r="R93" i="33" s="1"/>
  <c r="Q94" i="33"/>
  <c r="R94" i="33" s="1"/>
  <c r="Q95" i="33"/>
  <c r="Q96" i="33"/>
  <c r="R96" i="33" s="1"/>
  <c r="Q97" i="33"/>
  <c r="R97" i="33" s="1"/>
  <c r="Q98" i="33"/>
  <c r="R98" i="33" s="1"/>
  <c r="Q3" i="33"/>
  <c r="K98" i="33"/>
  <c r="K97" i="33"/>
  <c r="K96" i="33"/>
  <c r="K95" i="33"/>
  <c r="K94" i="33"/>
  <c r="K93" i="33"/>
  <c r="K92" i="33"/>
  <c r="K91" i="33"/>
  <c r="K90" i="33"/>
  <c r="K89" i="33"/>
  <c r="K88" i="33"/>
  <c r="K87" i="33"/>
  <c r="K86" i="33"/>
  <c r="K85" i="33"/>
  <c r="K84" i="33"/>
  <c r="K83" i="33"/>
  <c r="K82" i="33"/>
  <c r="K81" i="33"/>
  <c r="K80" i="33"/>
  <c r="K79" i="33"/>
  <c r="K78" i="33"/>
  <c r="K77" i="33"/>
  <c r="K76" i="33"/>
  <c r="K75" i="33"/>
  <c r="K74" i="33"/>
  <c r="K73" i="33"/>
  <c r="K72" i="33"/>
  <c r="K71" i="33"/>
  <c r="K70" i="33"/>
  <c r="K69" i="33"/>
  <c r="K68" i="33"/>
  <c r="K67" i="33"/>
  <c r="K66" i="33"/>
  <c r="K65" i="33"/>
  <c r="K64" i="33"/>
  <c r="K63" i="33"/>
  <c r="K62" i="33"/>
  <c r="K61" i="33"/>
  <c r="K60" i="33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L41" i="33" s="1"/>
  <c r="K4" i="33"/>
  <c r="K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F18" i="33" s="1"/>
  <c r="E19" i="33"/>
  <c r="E20" i="33"/>
  <c r="E21" i="33"/>
  <c r="E22" i="33"/>
  <c r="F22" i="33" s="1"/>
  <c r="E23" i="33"/>
  <c r="E24" i="33"/>
  <c r="F24" i="33" s="1"/>
  <c r="E25" i="33"/>
  <c r="F25" i="33" s="1"/>
  <c r="G25" i="33" s="1"/>
  <c r="E26" i="33"/>
  <c r="F26" i="33" s="1"/>
  <c r="E27" i="33"/>
  <c r="E28" i="33"/>
  <c r="E29" i="33"/>
  <c r="E30" i="33"/>
  <c r="E31" i="33"/>
  <c r="E32" i="33"/>
  <c r="E33" i="33"/>
  <c r="E34" i="33"/>
  <c r="E35" i="33"/>
  <c r="E36" i="33"/>
  <c r="E37" i="33"/>
  <c r="F37" i="33" s="1"/>
  <c r="E38" i="33"/>
  <c r="F38" i="33" s="1"/>
  <c r="E39" i="33"/>
  <c r="E40" i="33"/>
  <c r="E41" i="33"/>
  <c r="E42" i="33"/>
  <c r="F42" i="33" s="1"/>
  <c r="E43" i="33"/>
  <c r="E44" i="33"/>
  <c r="E45" i="33"/>
  <c r="E46" i="33"/>
  <c r="E47" i="33"/>
  <c r="E48" i="33"/>
  <c r="E49" i="33"/>
  <c r="F49" i="33" s="1"/>
  <c r="E50" i="33"/>
  <c r="F50" i="33" s="1"/>
  <c r="E51" i="33"/>
  <c r="E52" i="33"/>
  <c r="E53" i="33"/>
  <c r="F53" i="33" s="1"/>
  <c r="E54" i="33"/>
  <c r="F54" i="33" s="1"/>
  <c r="E55" i="33"/>
  <c r="F55" i="33" s="1"/>
  <c r="E56" i="33"/>
  <c r="E57" i="33"/>
  <c r="E58" i="33"/>
  <c r="F58" i="33" s="1"/>
  <c r="E59" i="33"/>
  <c r="E60" i="33"/>
  <c r="F60" i="33" s="1"/>
  <c r="E61" i="33"/>
  <c r="F61" i="33" s="1"/>
  <c r="E62" i="33"/>
  <c r="F62" i="33" s="1"/>
  <c r="E63" i="33"/>
  <c r="E64" i="33"/>
  <c r="E65" i="33"/>
  <c r="F65" i="33" s="1"/>
  <c r="E66" i="33"/>
  <c r="F66" i="33" s="1"/>
  <c r="E67" i="33"/>
  <c r="F67" i="33" s="1"/>
  <c r="E68" i="33"/>
  <c r="F68" i="33" s="1"/>
  <c r="E69" i="33"/>
  <c r="E70" i="33"/>
  <c r="F70" i="33" s="1"/>
  <c r="E71" i="33"/>
  <c r="E72" i="33"/>
  <c r="F72" i="33" s="1"/>
  <c r="E73" i="33"/>
  <c r="F73" i="33" s="1"/>
  <c r="E74" i="33"/>
  <c r="F74" i="33" s="1"/>
  <c r="E75" i="33"/>
  <c r="E76" i="33"/>
  <c r="E77" i="33"/>
  <c r="F77" i="33" s="1"/>
  <c r="E78" i="33"/>
  <c r="F78" i="33" s="1"/>
  <c r="E79" i="33"/>
  <c r="F79" i="33" s="1"/>
  <c r="E80" i="33"/>
  <c r="F80" i="33" s="1"/>
  <c r="E81" i="33"/>
  <c r="E82" i="33"/>
  <c r="F82" i="33" s="1"/>
  <c r="E83" i="33"/>
  <c r="E84" i="33"/>
  <c r="F84" i="33" s="1"/>
  <c r="E85" i="33"/>
  <c r="F85" i="33" s="1"/>
  <c r="E86" i="33"/>
  <c r="F86" i="33" s="1"/>
  <c r="E87" i="33"/>
  <c r="E88" i="33"/>
  <c r="E89" i="33"/>
  <c r="F89" i="33" s="1"/>
  <c r="E90" i="33"/>
  <c r="F90" i="33" s="1"/>
  <c r="E91" i="33"/>
  <c r="F91" i="33" s="1"/>
  <c r="E92" i="33"/>
  <c r="F92" i="33" s="1"/>
  <c r="E93" i="33"/>
  <c r="F93" i="33" s="1"/>
  <c r="E94" i="33"/>
  <c r="F94" i="33" s="1"/>
  <c r="E95" i="33"/>
  <c r="F95" i="33" s="1"/>
  <c r="E96" i="33"/>
  <c r="F96" i="33" s="1"/>
  <c r="E97" i="33"/>
  <c r="F97" i="33" s="1"/>
  <c r="E98" i="33"/>
  <c r="F98" i="33" s="1"/>
  <c r="E3" i="33"/>
  <c r="F41" i="33" l="1"/>
  <c r="R24" i="33"/>
  <c r="F81" i="33"/>
  <c r="F69" i="33"/>
  <c r="R88" i="33"/>
  <c r="R26" i="33"/>
  <c r="R76" i="33"/>
  <c r="R40" i="33"/>
  <c r="R64" i="33"/>
  <c r="R56" i="33"/>
  <c r="S55" i="33" s="1"/>
  <c r="R68" i="33"/>
  <c r="S67" i="33" s="1"/>
  <c r="R44" i="33"/>
  <c r="S43" i="33" s="1"/>
  <c r="X29" i="33"/>
  <c r="F88" i="33"/>
  <c r="F76" i="33"/>
  <c r="F64" i="33"/>
  <c r="F52" i="33"/>
  <c r="F30" i="33"/>
  <c r="R33" i="33"/>
  <c r="S33" i="33" s="1"/>
  <c r="R37" i="33"/>
  <c r="S37" i="33" s="1"/>
  <c r="F43" i="33"/>
  <c r="R89" i="33"/>
  <c r="S89" i="33" s="1"/>
  <c r="R18" i="33"/>
  <c r="R77" i="33"/>
  <c r="S77" i="33" s="1"/>
  <c r="R19" i="33"/>
  <c r="R66" i="33"/>
  <c r="F35" i="33"/>
  <c r="F47" i="33"/>
  <c r="F83" i="33"/>
  <c r="G83" i="33" s="1"/>
  <c r="F59" i="33"/>
  <c r="G59" i="33" s="1"/>
  <c r="F71" i="33"/>
  <c r="G71" i="33" s="1"/>
  <c r="F23" i="33"/>
  <c r="G23" i="33" s="1"/>
  <c r="F56" i="33"/>
  <c r="G55" i="33" s="1"/>
  <c r="F33" i="33"/>
  <c r="R21" i="33"/>
  <c r="F45" i="33"/>
  <c r="R32" i="33"/>
  <c r="S31" i="33" s="1"/>
  <c r="F57" i="33"/>
  <c r="G57" i="33" s="1"/>
  <c r="F44" i="33"/>
  <c r="R20" i="33"/>
  <c r="R53" i="33"/>
  <c r="S53" i="33" s="1"/>
  <c r="M66" i="34"/>
  <c r="P59" i="34"/>
  <c r="P58" i="34"/>
  <c r="N64" i="34"/>
  <c r="Q31" i="34"/>
  <c r="Q32" i="34"/>
  <c r="N65" i="34"/>
  <c r="Q50" i="34"/>
  <c r="Q51" i="34"/>
  <c r="N66" i="34"/>
  <c r="Q59" i="34"/>
  <c r="Q58" i="34"/>
  <c r="K65" i="34"/>
  <c r="N50" i="34"/>
  <c r="N51" i="34"/>
  <c r="L65" i="34"/>
  <c r="O50" i="34"/>
  <c r="O51" i="34"/>
  <c r="Q41" i="34"/>
  <c r="Q42" i="34"/>
  <c r="N41" i="34"/>
  <c r="N42" i="34"/>
  <c r="I65" i="34"/>
  <c r="L50" i="34"/>
  <c r="L51" i="34"/>
  <c r="K64" i="34"/>
  <c r="N32" i="34"/>
  <c r="N31" i="34"/>
  <c r="M64" i="34"/>
  <c r="P31" i="34"/>
  <c r="P32" i="34"/>
  <c r="L66" i="34"/>
  <c r="O58" i="34"/>
  <c r="O59" i="34"/>
  <c r="K66" i="34"/>
  <c r="N58" i="34"/>
  <c r="N59" i="34"/>
  <c r="K42" i="34"/>
  <c r="K41" i="34"/>
  <c r="J65" i="34"/>
  <c r="M50" i="34"/>
  <c r="M51" i="34"/>
  <c r="J64" i="34"/>
  <c r="M32" i="34"/>
  <c r="M31" i="34"/>
  <c r="I66" i="34"/>
  <c r="L58" i="34"/>
  <c r="L59" i="34"/>
  <c r="H65" i="34"/>
  <c r="K50" i="34"/>
  <c r="K51" i="34"/>
  <c r="P41" i="34"/>
  <c r="P42" i="34"/>
  <c r="M65" i="34"/>
  <c r="P50" i="34"/>
  <c r="P51" i="34"/>
  <c r="O41" i="34"/>
  <c r="O42" i="34"/>
  <c r="I64" i="34"/>
  <c r="L32" i="34"/>
  <c r="L31" i="34"/>
  <c r="H64" i="34"/>
  <c r="K32" i="34"/>
  <c r="K31" i="34"/>
  <c r="M41" i="34"/>
  <c r="M42" i="34"/>
  <c r="J66" i="34"/>
  <c r="M58" i="34"/>
  <c r="M59" i="34"/>
  <c r="H66" i="34"/>
  <c r="K58" i="34"/>
  <c r="K59" i="34"/>
  <c r="L42" i="34"/>
  <c r="L41" i="34"/>
  <c r="L64" i="34"/>
  <c r="O31" i="34"/>
  <c r="O32" i="34"/>
  <c r="M63" i="34"/>
  <c r="P22" i="34"/>
  <c r="P23" i="34"/>
  <c r="O11" i="34"/>
  <c r="O12" i="34"/>
  <c r="I63" i="34"/>
  <c r="L22" i="34"/>
  <c r="L23" i="34"/>
  <c r="J63" i="34"/>
  <c r="M22" i="34"/>
  <c r="M23" i="34"/>
  <c r="Q12" i="34"/>
  <c r="Q11" i="34"/>
  <c r="H63" i="34"/>
  <c r="K23" i="34"/>
  <c r="K22" i="34"/>
  <c r="K63" i="34"/>
  <c r="N22" i="34"/>
  <c r="N23" i="34"/>
  <c r="L11" i="34"/>
  <c r="L12" i="34"/>
  <c r="L63" i="34"/>
  <c r="O22" i="34"/>
  <c r="O23" i="34"/>
  <c r="P11" i="34"/>
  <c r="P12" i="34"/>
  <c r="N11" i="34"/>
  <c r="N12" i="34"/>
  <c r="N63" i="34"/>
  <c r="Q22" i="34"/>
  <c r="Q23" i="34"/>
  <c r="M11" i="34"/>
  <c r="M12" i="34"/>
  <c r="K11" i="34"/>
  <c r="K12" i="34"/>
  <c r="R25" i="33"/>
  <c r="S25" i="33" s="1"/>
  <c r="X80" i="33"/>
  <c r="X56" i="33"/>
  <c r="X32" i="33"/>
  <c r="R42" i="33"/>
  <c r="R30" i="33"/>
  <c r="R65" i="33"/>
  <c r="S65" i="33" s="1"/>
  <c r="R41" i="33"/>
  <c r="S41" i="33" s="1"/>
  <c r="R29" i="33"/>
  <c r="S29" i="33" s="1"/>
  <c r="R17" i="33"/>
  <c r="S17" i="33" s="1"/>
  <c r="F28" i="33"/>
  <c r="F40" i="33"/>
  <c r="F16" i="33"/>
  <c r="X30" i="33"/>
  <c r="F19" i="33"/>
  <c r="F31" i="33"/>
  <c r="X90" i="33"/>
  <c r="X66" i="33"/>
  <c r="X42" i="33"/>
  <c r="X18" i="33"/>
  <c r="F20" i="33"/>
  <c r="R28" i="33"/>
  <c r="X92" i="33"/>
  <c r="F17" i="33"/>
  <c r="G17" i="33" s="1"/>
  <c r="F21" i="33"/>
  <c r="G21" i="33" s="1"/>
  <c r="F29" i="33"/>
  <c r="G29" i="33" s="1"/>
  <c r="F36" i="33"/>
  <c r="F48" i="33"/>
  <c r="X68" i="33"/>
  <c r="X44" i="33"/>
  <c r="X20" i="33"/>
  <c r="X91" i="33"/>
  <c r="Y91" i="33" s="1"/>
  <c r="X67" i="33"/>
  <c r="Y67" i="33" s="1"/>
  <c r="X43" i="33"/>
  <c r="Y43" i="33" s="1"/>
  <c r="X19" i="33"/>
  <c r="R16" i="33"/>
  <c r="F32" i="33"/>
  <c r="G91" i="33"/>
  <c r="G67" i="33"/>
  <c r="G79" i="33"/>
  <c r="R23" i="33"/>
  <c r="S23" i="33" s="1"/>
  <c r="R59" i="33"/>
  <c r="S59" i="33" s="1"/>
  <c r="R47" i="33"/>
  <c r="S47" i="33" s="1"/>
  <c r="G95" i="33"/>
  <c r="X89" i="33"/>
  <c r="Y89" i="33" s="1"/>
  <c r="X65" i="33"/>
  <c r="Y65" i="33" s="1"/>
  <c r="X41" i="33"/>
  <c r="X17" i="33"/>
  <c r="R83" i="33"/>
  <c r="S83" i="33" s="1"/>
  <c r="R95" i="33"/>
  <c r="S95" i="33" s="1"/>
  <c r="G89" i="33"/>
  <c r="G77" i="33"/>
  <c r="G65" i="33"/>
  <c r="G53" i="33"/>
  <c r="G41" i="33"/>
  <c r="R35" i="33"/>
  <c r="S35" i="33" s="1"/>
  <c r="R71" i="33"/>
  <c r="S71" i="33" s="1"/>
  <c r="X51" i="33"/>
  <c r="X27" i="33"/>
  <c r="S97" i="33"/>
  <c r="S85" i="33"/>
  <c r="S61" i="33"/>
  <c r="S49" i="33"/>
  <c r="X75" i="33"/>
  <c r="R52" i="33"/>
  <c r="X16" i="33"/>
  <c r="X87" i="33"/>
  <c r="X63" i="33"/>
  <c r="X39" i="33"/>
  <c r="X15" i="33"/>
  <c r="X88" i="33"/>
  <c r="X64" i="33"/>
  <c r="X40" i="33"/>
  <c r="S93" i="33"/>
  <c r="F34" i="33"/>
  <c r="R22" i="33"/>
  <c r="S81" i="33"/>
  <c r="S57" i="33"/>
  <c r="G93" i="33"/>
  <c r="G69" i="33"/>
  <c r="F46" i="33"/>
  <c r="S69" i="33"/>
  <c r="S45" i="33"/>
  <c r="S73" i="33"/>
  <c r="G81" i="33"/>
  <c r="S91" i="33"/>
  <c r="S79" i="33"/>
  <c r="R87" i="33"/>
  <c r="R75" i="33"/>
  <c r="R63" i="33"/>
  <c r="R51" i="33"/>
  <c r="R39" i="33"/>
  <c r="R27" i="33"/>
  <c r="R15" i="33"/>
  <c r="G97" i="33"/>
  <c r="G85" i="33"/>
  <c r="G73" i="33"/>
  <c r="G61" i="33"/>
  <c r="G49" i="33"/>
  <c r="G37" i="33"/>
  <c r="L75" i="33"/>
  <c r="L44" i="33"/>
  <c r="L71" i="33"/>
  <c r="L17" i="33"/>
  <c r="L53" i="33"/>
  <c r="L54" i="33"/>
  <c r="L89" i="33"/>
  <c r="L93" i="33"/>
  <c r="L47" i="33"/>
  <c r="L83" i="33"/>
  <c r="M83" i="33" s="1"/>
  <c r="L49" i="33"/>
  <c r="L84" i="33"/>
  <c r="L96" i="33"/>
  <c r="L26" i="33"/>
  <c r="L73" i="33"/>
  <c r="L85" i="33"/>
  <c r="M85" i="33" s="1"/>
  <c r="L15" i="33"/>
  <c r="L74" i="33"/>
  <c r="L23" i="33"/>
  <c r="L22" i="33"/>
  <c r="L35" i="33"/>
  <c r="L34" i="33"/>
  <c r="F75" i="33"/>
  <c r="F63" i="33"/>
  <c r="F51" i="33"/>
  <c r="F39" i="33"/>
  <c r="F27" i="33"/>
  <c r="F15" i="33"/>
  <c r="L24" i="33"/>
  <c r="L36" i="33"/>
  <c r="L58" i="33"/>
  <c r="L46" i="33"/>
  <c r="F87" i="33"/>
  <c r="L25" i="33"/>
  <c r="L37" i="33"/>
  <c r="L48" i="33"/>
  <c r="L59" i="33"/>
  <c r="L88" i="33"/>
  <c r="L27" i="33"/>
  <c r="L61" i="33"/>
  <c r="L29" i="33"/>
  <c r="L97" i="33"/>
  <c r="L64" i="33"/>
  <c r="L65" i="33"/>
  <c r="L18" i="33"/>
  <c r="L19" i="33"/>
  <c r="L79" i="33"/>
  <c r="M79" i="33" s="1"/>
  <c r="L20" i="33"/>
  <c r="L40" i="33"/>
  <c r="L50" i="33"/>
  <c r="L70" i="33"/>
  <c r="L80" i="33"/>
  <c r="L90" i="33"/>
  <c r="L28" i="33"/>
  <c r="L94" i="33"/>
  <c r="L95" i="33"/>
  <c r="L30" i="33"/>
  <c r="L60" i="33"/>
  <c r="L91" i="33"/>
  <c r="L67" i="33"/>
  <c r="L31" i="33"/>
  <c r="L77" i="33"/>
  <c r="L38" i="33"/>
  <c r="L68" i="33"/>
  <c r="L78" i="33"/>
  <c r="L51" i="33"/>
  <c r="L92" i="33"/>
  <c r="L32" i="33"/>
  <c r="L42" i="33"/>
  <c r="M41" i="33" s="1"/>
  <c r="L52" i="33"/>
  <c r="L62" i="33"/>
  <c r="L72" i="33"/>
  <c r="L43" i="33"/>
  <c r="L16" i="33"/>
  <c r="L55" i="33"/>
  <c r="L76" i="33"/>
  <c r="L86" i="33"/>
  <c r="L56" i="33"/>
  <c r="L66" i="33"/>
  <c r="L98" i="33"/>
  <c r="L21" i="33"/>
  <c r="L33" i="33"/>
  <c r="M33" i="33" s="1"/>
  <c r="L39" i="33"/>
  <c r="L57" i="33"/>
  <c r="L69" i="33"/>
  <c r="L87" i="33"/>
  <c r="L81" i="33"/>
  <c r="L82" i="33"/>
  <c r="L45" i="33"/>
  <c r="L63" i="33"/>
  <c r="K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3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4" i="31"/>
  <c r="K5" i="31"/>
  <c r="K6" i="31"/>
  <c r="K7" i="31"/>
  <c r="K8" i="31"/>
  <c r="Y29" i="33" l="1"/>
  <c r="S19" i="33"/>
  <c r="G43" i="33"/>
  <c r="G35" i="33"/>
  <c r="G33" i="33"/>
  <c r="G47" i="33"/>
  <c r="G45" i="33"/>
  <c r="S21" i="33"/>
  <c r="Y17" i="33"/>
  <c r="G19" i="33"/>
  <c r="G31" i="33"/>
  <c r="Y41" i="33"/>
  <c r="Y19" i="33"/>
  <c r="M23" i="33"/>
  <c r="M59" i="33"/>
  <c r="M67" i="33"/>
  <c r="M69" i="33"/>
  <c r="M31" i="33"/>
  <c r="M57" i="33"/>
  <c r="M43" i="33"/>
  <c r="M91" i="33"/>
  <c r="M37" i="33"/>
  <c r="M49" i="33"/>
  <c r="M25" i="33"/>
  <c r="M21" i="33"/>
  <c r="M35" i="33"/>
  <c r="M45" i="33"/>
  <c r="M47" i="33"/>
  <c r="M95" i="33"/>
  <c r="M65" i="33"/>
  <c r="M93" i="33"/>
  <c r="M89" i="33"/>
  <c r="M97" i="33"/>
  <c r="M19" i="33"/>
  <c r="M29" i="33"/>
  <c r="M53" i="33"/>
  <c r="M61" i="33"/>
  <c r="M81" i="33"/>
  <c r="M73" i="33"/>
  <c r="M71" i="33"/>
  <c r="M17" i="33"/>
  <c r="M55" i="33"/>
  <c r="M77" i="33"/>
  <c r="O20" i="32" l="1"/>
  <c r="N10" i="32"/>
  <c r="N6" i="32"/>
  <c r="CL6" i="17" l="1"/>
  <c r="G20" i="29"/>
  <c r="J20" i="29"/>
  <c r="N20" i="29"/>
  <c r="Q20" i="29"/>
  <c r="T20" i="29"/>
  <c r="T224" i="29"/>
  <c r="T222" i="29"/>
  <c r="T220" i="29"/>
  <c r="T218" i="29"/>
  <c r="T216" i="29"/>
  <c r="T214" i="29"/>
  <c r="T209" i="29"/>
  <c r="T204" i="29"/>
  <c r="T199" i="29"/>
  <c r="T196" i="29"/>
  <c r="T193" i="29"/>
  <c r="T190" i="29"/>
  <c r="T188" i="29"/>
  <c r="T186" i="29"/>
  <c r="T184" i="29"/>
  <c r="T179" i="29"/>
  <c r="T174" i="29"/>
  <c r="T169" i="29"/>
  <c r="T167" i="29"/>
  <c r="T165" i="29"/>
  <c r="T162" i="29"/>
  <c r="T160" i="29"/>
  <c r="U160" i="29" s="1"/>
  <c r="AB23" i="29" s="1"/>
  <c r="T155" i="29"/>
  <c r="T150" i="29"/>
  <c r="T144" i="29"/>
  <c r="T142" i="29"/>
  <c r="T140" i="29"/>
  <c r="T138" i="29"/>
  <c r="T133" i="29"/>
  <c r="T128" i="29"/>
  <c r="T124" i="29"/>
  <c r="T121" i="29"/>
  <c r="T118" i="29"/>
  <c r="T115" i="29"/>
  <c r="T110" i="29"/>
  <c r="T105" i="29"/>
  <c r="T100" i="29"/>
  <c r="T97" i="29"/>
  <c r="T95" i="29"/>
  <c r="T93" i="29"/>
  <c r="T88" i="29"/>
  <c r="T82" i="29"/>
  <c r="T79" i="29"/>
  <c r="T74" i="29"/>
  <c r="T70" i="29"/>
  <c r="T65" i="29"/>
  <c r="T62" i="29"/>
  <c r="T59" i="29"/>
  <c r="T56" i="29"/>
  <c r="T53" i="29"/>
  <c r="T49" i="29"/>
  <c r="T45" i="29"/>
  <c r="T43" i="29"/>
  <c r="T41" i="29"/>
  <c r="T39" i="29"/>
  <c r="T37" i="29"/>
  <c r="T35" i="29"/>
  <c r="T33" i="29"/>
  <c r="T30" i="29"/>
  <c r="T25" i="29"/>
  <c r="T19" i="29"/>
  <c r="T16" i="29"/>
  <c r="T12" i="29"/>
  <c r="T7" i="29"/>
  <c r="T3" i="29"/>
  <c r="Q196" i="29"/>
  <c r="Q193" i="29"/>
  <c r="Q190" i="29"/>
  <c r="N196" i="29"/>
  <c r="N193" i="29"/>
  <c r="N190" i="29"/>
  <c r="J198" i="29"/>
  <c r="J197" i="29"/>
  <c r="J196" i="29"/>
  <c r="J195" i="29"/>
  <c r="J194" i="29"/>
  <c r="J193" i="29"/>
  <c r="J192" i="29"/>
  <c r="J191" i="29"/>
  <c r="J190" i="29"/>
  <c r="G198" i="29"/>
  <c r="G197" i="29"/>
  <c r="G196" i="29"/>
  <c r="G195" i="29"/>
  <c r="G194" i="29"/>
  <c r="G193" i="29"/>
  <c r="G192" i="29"/>
  <c r="G191" i="29"/>
  <c r="G190" i="29"/>
  <c r="J168" i="29"/>
  <c r="J167" i="29"/>
  <c r="J166" i="29"/>
  <c r="J165" i="29"/>
  <c r="J164" i="29"/>
  <c r="J163" i="29"/>
  <c r="J162" i="29"/>
  <c r="G168" i="29"/>
  <c r="G167" i="29"/>
  <c r="G166" i="29"/>
  <c r="G165" i="29"/>
  <c r="G164" i="29"/>
  <c r="G163" i="29"/>
  <c r="G162" i="29"/>
  <c r="Q167" i="29"/>
  <c r="Q165" i="29"/>
  <c r="Q162" i="29"/>
  <c r="N167" i="29"/>
  <c r="N165" i="29"/>
  <c r="N162" i="29"/>
  <c r="J225" i="29"/>
  <c r="J224" i="29"/>
  <c r="J223" i="29"/>
  <c r="J222" i="29"/>
  <c r="J221" i="29"/>
  <c r="J220" i="29"/>
  <c r="G225" i="29"/>
  <c r="G224" i="29"/>
  <c r="G223" i="29"/>
  <c r="G222" i="29"/>
  <c r="G221" i="29"/>
  <c r="G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19" i="29"/>
  <c r="K19" i="29" s="1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G219" i="29"/>
  <c r="G218" i="29"/>
  <c r="G217" i="29"/>
  <c r="G216" i="29"/>
  <c r="G215" i="29"/>
  <c r="G214" i="29"/>
  <c r="G213" i="29"/>
  <c r="G212" i="29"/>
  <c r="G211" i="29"/>
  <c r="G210" i="29"/>
  <c r="G209" i="29"/>
  <c r="G208" i="29"/>
  <c r="G207" i="29"/>
  <c r="G206" i="29"/>
  <c r="G205" i="29"/>
  <c r="G204" i="29"/>
  <c r="G203" i="29"/>
  <c r="G202" i="29"/>
  <c r="G201" i="29"/>
  <c r="G200" i="29"/>
  <c r="G199" i="29"/>
  <c r="G189" i="29"/>
  <c r="G188" i="29"/>
  <c r="G187" i="29"/>
  <c r="G186" i="29"/>
  <c r="G185" i="29"/>
  <c r="G184" i="29"/>
  <c r="G183" i="29"/>
  <c r="G182" i="29"/>
  <c r="G181" i="29"/>
  <c r="G180" i="29"/>
  <c r="G179" i="29"/>
  <c r="G178" i="29"/>
  <c r="G177" i="29"/>
  <c r="G176" i="29"/>
  <c r="G175" i="29"/>
  <c r="G174" i="29"/>
  <c r="G173" i="29"/>
  <c r="G172" i="29"/>
  <c r="G171" i="29"/>
  <c r="G170" i="29"/>
  <c r="G169" i="29"/>
  <c r="G161" i="29"/>
  <c r="G160" i="29"/>
  <c r="G159" i="29"/>
  <c r="G158" i="29"/>
  <c r="G157" i="29"/>
  <c r="G156" i="29"/>
  <c r="G155" i="29"/>
  <c r="G154" i="29"/>
  <c r="G153" i="29"/>
  <c r="G152" i="29"/>
  <c r="G151" i="29"/>
  <c r="G150" i="29"/>
  <c r="G149" i="29"/>
  <c r="G148" i="29"/>
  <c r="G147" i="29"/>
  <c r="G146" i="29"/>
  <c r="G145" i="29"/>
  <c r="G144" i="29"/>
  <c r="G143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3" i="29"/>
  <c r="G82" i="29"/>
  <c r="G81" i="29"/>
  <c r="G80" i="29"/>
  <c r="G79" i="29"/>
  <c r="G78" i="29"/>
  <c r="G77" i="29"/>
  <c r="G76" i="29"/>
  <c r="G75" i="29"/>
  <c r="G74" i="29"/>
  <c r="G73" i="29"/>
  <c r="G72" i="29"/>
  <c r="G71" i="29"/>
  <c r="G70" i="29"/>
  <c r="G69" i="29"/>
  <c r="G68" i="29"/>
  <c r="G67" i="29"/>
  <c r="G66" i="29"/>
  <c r="G65" i="29"/>
  <c r="G64" i="29"/>
  <c r="G63" i="29"/>
  <c r="G62" i="29"/>
  <c r="G61" i="29"/>
  <c r="G60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19" i="29"/>
  <c r="H19" i="29" s="1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Z2" i="29"/>
  <c r="Q224" i="29"/>
  <c r="Q222" i="29"/>
  <c r="Q220" i="29"/>
  <c r="N224" i="29"/>
  <c r="N222" i="29"/>
  <c r="N220" i="29"/>
  <c r="Q218" i="29"/>
  <c r="Q216" i="29"/>
  <c r="Q214" i="29"/>
  <c r="N218" i="29"/>
  <c r="N216" i="29"/>
  <c r="N214" i="29"/>
  <c r="Q160" i="29"/>
  <c r="R160" i="29" s="1"/>
  <c r="AA23" i="29" s="1"/>
  <c r="N160" i="29"/>
  <c r="O160" i="29" s="1"/>
  <c r="Z23" i="29" s="1"/>
  <c r="Q188" i="29"/>
  <c r="Q186" i="29"/>
  <c r="Q184" i="29"/>
  <c r="N188" i="29"/>
  <c r="N186" i="29"/>
  <c r="N184" i="29"/>
  <c r="Q142" i="29"/>
  <c r="Q140" i="29"/>
  <c r="Q138" i="29"/>
  <c r="N142" i="29"/>
  <c r="N140" i="29"/>
  <c r="N138" i="29"/>
  <c r="Q121" i="29"/>
  <c r="Q118" i="29"/>
  <c r="Q115" i="29"/>
  <c r="N121" i="29"/>
  <c r="N118" i="29"/>
  <c r="N115" i="29"/>
  <c r="Q97" i="29"/>
  <c r="Q95" i="29"/>
  <c r="Q93" i="29"/>
  <c r="N97" i="29"/>
  <c r="N95" i="29"/>
  <c r="N93" i="29"/>
  <c r="Q62" i="29"/>
  <c r="Q59" i="29"/>
  <c r="Q56" i="29"/>
  <c r="N62" i="29"/>
  <c r="N59" i="29"/>
  <c r="N56" i="29"/>
  <c r="Q43" i="29"/>
  <c r="Q41" i="29"/>
  <c r="Q39" i="29"/>
  <c r="Q37" i="29"/>
  <c r="Q35" i="29"/>
  <c r="Q33" i="29"/>
  <c r="N43" i="29"/>
  <c r="N41" i="29"/>
  <c r="N39" i="29"/>
  <c r="N37" i="29"/>
  <c r="N35" i="29"/>
  <c r="N33" i="29"/>
  <c r="Q19" i="29"/>
  <c r="Q16" i="29"/>
  <c r="N19" i="29"/>
  <c r="N16" i="29"/>
  <c r="BP10" i="17"/>
  <c r="BV10" i="17"/>
  <c r="BS10" i="17"/>
  <c r="U20" i="29" l="1"/>
  <c r="AB10" i="29" s="1"/>
  <c r="H20" i="29"/>
  <c r="K20" i="29"/>
  <c r="O190" i="29"/>
  <c r="Z21" i="29" s="1"/>
  <c r="U39" i="29"/>
  <c r="AB12" i="29" s="1"/>
  <c r="H190" i="29"/>
  <c r="K190" i="29"/>
  <c r="U65" i="29"/>
  <c r="AB25" i="29" s="1"/>
  <c r="H220" i="29"/>
  <c r="U184" i="29"/>
  <c r="AB20" i="29" s="1"/>
  <c r="K165" i="29"/>
  <c r="K193" i="29"/>
  <c r="U3" i="29"/>
  <c r="AB13" i="29" s="1"/>
  <c r="K224" i="29"/>
  <c r="H193" i="29"/>
  <c r="K196" i="29"/>
  <c r="U16" i="29"/>
  <c r="AB14" i="29" s="1"/>
  <c r="U93" i="29"/>
  <c r="AB27" i="29" s="1"/>
  <c r="H196" i="29"/>
  <c r="U100" i="29"/>
  <c r="AB15" i="29" s="1"/>
  <c r="R190" i="29"/>
  <c r="AA21" i="29" s="1"/>
  <c r="U33" i="29"/>
  <c r="AB11" i="29" s="1"/>
  <c r="U115" i="29"/>
  <c r="AB16" i="29" s="1"/>
  <c r="U162" i="29"/>
  <c r="AB24" i="29" s="1"/>
  <c r="U199" i="29"/>
  <c r="AB7" i="29" s="1"/>
  <c r="K220" i="29"/>
  <c r="K167" i="29"/>
  <c r="U124" i="29"/>
  <c r="AB28" i="29" s="1"/>
  <c r="U79" i="29"/>
  <c r="AB26" i="29" s="1"/>
  <c r="U169" i="29"/>
  <c r="AB19" i="29" s="1"/>
  <c r="K222" i="29"/>
  <c r="U138" i="29"/>
  <c r="AB29" i="29" s="1"/>
  <c r="U214" i="29"/>
  <c r="AB8" i="29" s="1"/>
  <c r="U45" i="29"/>
  <c r="AB17" i="29" s="1"/>
  <c r="U220" i="29"/>
  <c r="AB9" i="29" s="1"/>
  <c r="U56" i="29"/>
  <c r="AB18" i="29" s="1"/>
  <c r="K162" i="29"/>
  <c r="U144" i="29"/>
  <c r="AB22" i="29" s="1"/>
  <c r="U190" i="29"/>
  <c r="AB21" i="29" s="1"/>
  <c r="H167" i="29"/>
  <c r="H165" i="29"/>
  <c r="H162" i="29"/>
  <c r="H222" i="29"/>
  <c r="O162" i="29"/>
  <c r="Z24" i="29" s="1"/>
  <c r="R162" i="29"/>
  <c r="AA24" i="29" s="1"/>
  <c r="H224" i="29"/>
  <c r="K33" i="29"/>
  <c r="K218" i="29"/>
  <c r="H39" i="29"/>
  <c r="K140" i="29"/>
  <c r="H33" i="29"/>
  <c r="H93" i="29"/>
  <c r="H184" i="29"/>
  <c r="O220" i="29"/>
  <c r="Z9" i="29" s="1"/>
  <c r="R220" i="29"/>
  <c r="AA9" i="29" s="1"/>
  <c r="H41" i="29"/>
  <c r="K93" i="29"/>
  <c r="K115" i="29"/>
  <c r="K142" i="29"/>
  <c r="H37" i="29"/>
  <c r="H97" i="29"/>
  <c r="H121" i="29"/>
  <c r="H188" i="29"/>
  <c r="K16" i="29"/>
  <c r="L16" i="29" s="1"/>
  <c r="Y14" i="29" s="1"/>
  <c r="K160" i="29"/>
  <c r="L160" i="29" s="1"/>
  <c r="Y23" i="29" s="1"/>
  <c r="H56" i="29"/>
  <c r="H115" i="29"/>
  <c r="H140" i="29"/>
  <c r="H216" i="29"/>
  <c r="K35" i="29"/>
  <c r="K95" i="29"/>
  <c r="K118" i="29"/>
  <c r="K186" i="29"/>
  <c r="H142" i="29"/>
  <c r="H218" i="29"/>
  <c r="K37" i="29"/>
  <c r="K188" i="29"/>
  <c r="H186" i="29"/>
  <c r="K39" i="29"/>
  <c r="K41" i="29"/>
  <c r="H16" i="29"/>
  <c r="I16" i="29" s="1"/>
  <c r="X14" i="29" s="1"/>
  <c r="K43" i="29"/>
  <c r="K138" i="29"/>
  <c r="K214" i="29"/>
  <c r="K56" i="29"/>
  <c r="K216" i="29"/>
  <c r="H43" i="29"/>
  <c r="K184" i="29"/>
  <c r="H62" i="29"/>
  <c r="O56" i="29"/>
  <c r="Z18" i="29" s="1"/>
  <c r="R138" i="29"/>
  <c r="AA29" i="29" s="1"/>
  <c r="H138" i="29"/>
  <c r="H214" i="29"/>
  <c r="R33" i="29"/>
  <c r="AA11" i="29" s="1"/>
  <c r="H160" i="29"/>
  <c r="I160" i="29" s="1"/>
  <c r="X23" i="29" s="1"/>
  <c r="O33" i="29"/>
  <c r="Z11" i="29" s="1"/>
  <c r="O214" i="29"/>
  <c r="Z8" i="29" s="1"/>
  <c r="K59" i="29"/>
  <c r="H118" i="29"/>
  <c r="K97" i="29"/>
  <c r="K121" i="29"/>
  <c r="O184" i="29"/>
  <c r="Z20" i="29" s="1"/>
  <c r="O138" i="29"/>
  <c r="Z29" i="29" s="1"/>
  <c r="R184" i="29"/>
  <c r="AA20" i="29" s="1"/>
  <c r="R214" i="29"/>
  <c r="AA8" i="29" s="1"/>
  <c r="H35" i="29"/>
  <c r="H59" i="29"/>
  <c r="H95" i="29"/>
  <c r="K62" i="29"/>
  <c r="O93" i="29"/>
  <c r="Z27" i="29" s="1"/>
  <c r="O16" i="29"/>
  <c r="Z14" i="29" s="1"/>
  <c r="O115" i="29"/>
  <c r="Z16" i="29" s="1"/>
  <c r="R39" i="29"/>
  <c r="AA12" i="29" s="1"/>
  <c r="R56" i="29"/>
  <c r="AA18" i="29" s="1"/>
  <c r="R93" i="29"/>
  <c r="AA27" i="29" s="1"/>
  <c r="R16" i="29"/>
  <c r="AA14" i="29" s="1"/>
  <c r="R115" i="29"/>
  <c r="AA16" i="29" s="1"/>
  <c r="O39" i="29"/>
  <c r="Z12" i="29" s="1"/>
  <c r="BP11" i="17"/>
  <c r="BO11" i="17"/>
  <c r="BR10" i="17"/>
  <c r="BU10" i="17"/>
  <c r="BO10" i="17"/>
  <c r="BR9" i="17"/>
  <c r="BU9" i="17"/>
  <c r="BS9" i="17"/>
  <c r="BV9" i="17"/>
  <c r="BP9" i="17"/>
  <c r="BO9" i="17"/>
  <c r="BQ8" i="17"/>
  <c r="BP8" i="17"/>
  <c r="BO8" i="17"/>
  <c r="BQ7" i="17"/>
  <c r="BP7" i="17"/>
  <c r="BO7" i="17"/>
  <c r="BR6" i="17"/>
  <c r="BU6" i="17"/>
  <c r="BS6" i="17"/>
  <c r="BV6" i="17"/>
  <c r="BT6" i="17"/>
  <c r="BW6" i="17"/>
  <c r="BQ6" i="17"/>
  <c r="BP6" i="17"/>
  <c r="BO6" i="17"/>
  <c r="BR5" i="17"/>
  <c r="BU5" i="17"/>
  <c r="BS5" i="17"/>
  <c r="BV5" i="17"/>
  <c r="BT5" i="17"/>
  <c r="BW5" i="17"/>
  <c r="BQ5" i="17"/>
  <c r="BP5" i="17"/>
  <c r="BO5" i="17"/>
  <c r="BQ4" i="17"/>
  <c r="BP4" i="17"/>
  <c r="BO4" i="17"/>
  <c r="CK5" i="17" l="1"/>
  <c r="CJ5" i="17"/>
  <c r="AD34" i="29"/>
  <c r="AD36" i="29"/>
  <c r="CK6" i="17"/>
  <c r="CJ6" i="17"/>
  <c r="CK7" i="17"/>
  <c r="CJ7" i="17"/>
  <c r="CK9" i="17"/>
  <c r="CJ9" i="17"/>
  <c r="AD42" i="29"/>
  <c r="CJ4" i="17"/>
  <c r="AD33" i="29"/>
  <c r="AD35" i="29"/>
  <c r="CK4" i="17"/>
  <c r="CK8" i="17"/>
  <c r="CJ8" i="17"/>
  <c r="AD37" i="29"/>
  <c r="AD41" i="29"/>
  <c r="AD44" i="29"/>
  <c r="CJ11" i="17"/>
  <c r="CK11" i="17"/>
  <c r="CJ10" i="17"/>
  <c r="CK10" i="17"/>
  <c r="AD38" i="29"/>
  <c r="AD39" i="29"/>
  <c r="AD40" i="29"/>
  <c r="AD43" i="29"/>
  <c r="L220" i="29"/>
  <c r="Y9" i="29" s="1"/>
  <c r="I190" i="29"/>
  <c r="X21" i="29" s="1"/>
  <c r="L190" i="29"/>
  <c r="Y21" i="29" s="1"/>
  <c r="I220" i="29"/>
  <c r="X9" i="29" s="1"/>
  <c r="I162" i="29"/>
  <c r="X24" i="29" s="1"/>
  <c r="L162" i="29"/>
  <c r="Y24" i="29" s="1"/>
  <c r="L138" i="29"/>
  <c r="Y29" i="29" s="1"/>
  <c r="I33" i="29"/>
  <c r="X11" i="29" s="1"/>
  <c r="I93" i="29"/>
  <c r="X27" i="29" s="1"/>
  <c r="I138" i="29"/>
  <c r="X29" i="29" s="1"/>
  <c r="L184" i="29"/>
  <c r="Y20" i="29" s="1"/>
  <c r="I184" i="29"/>
  <c r="X20" i="29" s="1"/>
  <c r="L214" i="29"/>
  <c r="Y8" i="29" s="1"/>
  <c r="L33" i="29"/>
  <c r="Y11" i="29" s="1"/>
  <c r="L39" i="29"/>
  <c r="Y12" i="29" s="1"/>
  <c r="I115" i="29"/>
  <c r="X16" i="29" s="1"/>
  <c r="I214" i="29"/>
  <c r="X8" i="29" s="1"/>
  <c r="L115" i="29"/>
  <c r="Y16" i="29" s="1"/>
  <c r="L56" i="29"/>
  <c r="Y18" i="29" s="1"/>
  <c r="L93" i="29"/>
  <c r="Y27" i="29" s="1"/>
  <c r="I39" i="29"/>
  <c r="X12" i="29" s="1"/>
  <c r="I56" i="29"/>
  <c r="X18" i="29" s="1"/>
  <c r="M50" i="30"/>
  <c r="Q209" i="29" l="1"/>
  <c r="Q204" i="29"/>
  <c r="Q199" i="29"/>
  <c r="N209" i="29"/>
  <c r="N204" i="29"/>
  <c r="N199" i="29"/>
  <c r="K209" i="29"/>
  <c r="K204" i="29"/>
  <c r="K199" i="29"/>
  <c r="Q179" i="29"/>
  <c r="Q174" i="29"/>
  <c r="Q169" i="29"/>
  <c r="N179" i="29"/>
  <c r="N174" i="29"/>
  <c r="N169" i="29"/>
  <c r="K179" i="29"/>
  <c r="K174" i="29"/>
  <c r="K169" i="29"/>
  <c r="Q155" i="29"/>
  <c r="Q150" i="29"/>
  <c r="Q144" i="29"/>
  <c r="N155" i="29"/>
  <c r="N150" i="29"/>
  <c r="N144" i="29"/>
  <c r="K155" i="29"/>
  <c r="K150" i="29"/>
  <c r="K144" i="29"/>
  <c r="N88" i="29"/>
  <c r="N82" i="29"/>
  <c r="N79" i="29"/>
  <c r="Q88" i="29"/>
  <c r="Q82" i="29"/>
  <c r="Q79" i="29"/>
  <c r="K88" i="29"/>
  <c r="K82" i="29"/>
  <c r="K79" i="29"/>
  <c r="H209" i="29"/>
  <c r="H204" i="29"/>
  <c r="H199" i="29"/>
  <c r="H179" i="29"/>
  <c r="H174" i="29"/>
  <c r="H169" i="29"/>
  <c r="H155" i="29"/>
  <c r="H150" i="29"/>
  <c r="H144" i="29"/>
  <c r="H88" i="29"/>
  <c r="H82" i="29"/>
  <c r="H79" i="29"/>
  <c r="R169" i="29" l="1"/>
  <c r="AA19" i="29" s="1"/>
  <c r="I144" i="29"/>
  <c r="R79" i="29"/>
  <c r="AA26" i="29" s="1"/>
  <c r="R144" i="29"/>
  <c r="AA22" i="29" s="1"/>
  <c r="I169" i="29"/>
  <c r="O79" i="29"/>
  <c r="Z26" i="29" s="1"/>
  <c r="I199" i="29"/>
  <c r="X7" i="29" s="1"/>
  <c r="L144" i="29"/>
  <c r="Y22" i="29" s="1"/>
  <c r="O169" i="29"/>
  <c r="Z19" i="29" s="1"/>
  <c r="CD8" i="17" s="1"/>
  <c r="R199" i="29"/>
  <c r="AA7" i="29" s="1"/>
  <c r="L199" i="29"/>
  <c r="Y7" i="29" s="1"/>
  <c r="L169" i="29"/>
  <c r="Y19" i="29" s="1"/>
  <c r="I79" i="29"/>
  <c r="X26" i="29" s="1"/>
  <c r="O199" i="29"/>
  <c r="Z7" i="29" s="1"/>
  <c r="L79" i="29"/>
  <c r="Y26" i="29" s="1"/>
  <c r="O144" i="29"/>
  <c r="Z22" i="29" s="1"/>
  <c r="Q74" i="29"/>
  <c r="Q70" i="29"/>
  <c r="Q65" i="29"/>
  <c r="N74" i="29"/>
  <c r="N70" i="29"/>
  <c r="N65" i="29"/>
  <c r="Q133" i="29"/>
  <c r="Q128" i="29"/>
  <c r="Q124" i="29"/>
  <c r="Q110" i="29"/>
  <c r="Q105" i="29"/>
  <c r="Q100" i="29"/>
  <c r="N133" i="29"/>
  <c r="N128" i="29"/>
  <c r="N124" i="29"/>
  <c r="N110" i="29"/>
  <c r="N105" i="29"/>
  <c r="N100" i="29"/>
  <c r="Q53" i="29"/>
  <c r="Q49" i="29"/>
  <c r="Q45" i="29"/>
  <c r="Q30" i="29"/>
  <c r="Q25" i="29"/>
  <c r="Q12" i="29"/>
  <c r="Q7" i="29"/>
  <c r="Q3" i="29"/>
  <c r="N53" i="29"/>
  <c r="N49" i="29"/>
  <c r="N45" i="29"/>
  <c r="N30" i="29"/>
  <c r="N25" i="29"/>
  <c r="N12" i="29"/>
  <c r="N7" i="29"/>
  <c r="N3" i="29"/>
  <c r="CA9" i="17" l="1"/>
  <c r="CB9" i="17"/>
  <c r="CE9" i="17"/>
  <c r="CD9" i="17"/>
  <c r="CH9" i="17"/>
  <c r="CG9" i="17"/>
  <c r="CH8" i="17"/>
  <c r="CG8" i="17"/>
  <c r="O20" i="29"/>
  <c r="Z10" i="29" s="1"/>
  <c r="CB8" i="17"/>
  <c r="CA8" i="17"/>
  <c r="CE8" i="17"/>
  <c r="R20" i="29"/>
  <c r="AA10" i="29" s="1"/>
  <c r="AB37" i="29"/>
  <c r="AA41" i="29"/>
  <c r="CB4" i="17"/>
  <c r="CC4" i="17"/>
  <c r="CA4" i="17"/>
  <c r="AA37" i="29"/>
  <c r="BX4" i="17"/>
  <c r="BZ4" i="17"/>
  <c r="BY4" i="17"/>
  <c r="CG4" i="17"/>
  <c r="CH4" i="17"/>
  <c r="CI4" i="17"/>
  <c r="AB41" i="29"/>
  <c r="CE4" i="17"/>
  <c r="CF4" i="17"/>
  <c r="CD4" i="17"/>
  <c r="AC37" i="29"/>
  <c r="AC41" i="29"/>
  <c r="X22" i="29"/>
  <c r="X19" i="29"/>
  <c r="R45" i="29"/>
  <c r="AA17" i="29" s="1"/>
  <c r="R124" i="29"/>
  <c r="AA28" i="29" s="1"/>
  <c r="O45" i="29"/>
  <c r="Z17" i="29" s="1"/>
  <c r="O100" i="29"/>
  <c r="Z15" i="29" s="1"/>
  <c r="O65" i="29"/>
  <c r="Z25" i="29" s="1"/>
  <c r="AB38" i="29" s="1"/>
  <c r="R3" i="29"/>
  <c r="AA13" i="29" s="1"/>
  <c r="O3" i="29"/>
  <c r="Z13" i="29" s="1"/>
  <c r="R100" i="29"/>
  <c r="AA15" i="29" s="1"/>
  <c r="R65" i="29"/>
  <c r="AA25" i="29" s="1"/>
  <c r="O124" i="29"/>
  <c r="Z28" i="29" s="1"/>
  <c r="K133" i="29"/>
  <c r="K128" i="29"/>
  <c r="K124" i="29"/>
  <c r="K110" i="29"/>
  <c r="K105" i="29"/>
  <c r="K100" i="29"/>
  <c r="K74" i="29"/>
  <c r="K70" i="29"/>
  <c r="K65" i="29"/>
  <c r="K53" i="29"/>
  <c r="K49" i="29"/>
  <c r="K45" i="29"/>
  <c r="K30" i="29"/>
  <c r="K25" i="29"/>
  <c r="K12" i="29"/>
  <c r="K7" i="29"/>
  <c r="K3" i="29"/>
  <c r="H133" i="29"/>
  <c r="H128" i="29"/>
  <c r="H110" i="29"/>
  <c r="H105" i="29"/>
  <c r="H100" i="29"/>
  <c r="H74" i="29"/>
  <c r="H65" i="29"/>
  <c r="H53" i="29"/>
  <c r="H30" i="29"/>
  <c r="H25" i="29"/>
  <c r="H7" i="29"/>
  <c r="H124" i="29"/>
  <c r="H70" i="29"/>
  <c r="H49" i="29"/>
  <c r="H45" i="29"/>
  <c r="H12" i="29"/>
  <c r="H3" i="29"/>
  <c r="L20" i="29" l="1"/>
  <c r="Y10" i="29" s="1"/>
  <c r="BY8" i="17"/>
  <c r="BX8" i="17"/>
  <c r="BY9" i="17"/>
  <c r="BX9" i="17"/>
  <c r="I20" i="29"/>
  <c r="X10" i="29" s="1"/>
  <c r="AB35" i="29"/>
  <c r="Z37" i="29"/>
  <c r="CG10" i="17"/>
  <c r="CH10" i="17"/>
  <c r="AC40" i="29"/>
  <c r="CG6" i="17"/>
  <c r="AC36" i="29"/>
  <c r="CH6" i="17"/>
  <c r="AC43" i="29"/>
  <c r="AC42" i="29"/>
  <c r="CG5" i="17"/>
  <c r="AC34" i="29"/>
  <c r="CH5" i="17"/>
  <c r="AB42" i="29"/>
  <c r="CD5" i="17"/>
  <c r="AB34" i="29"/>
  <c r="CE5" i="17"/>
  <c r="CD10" i="17"/>
  <c r="CE10" i="17"/>
  <c r="AB40" i="29"/>
  <c r="CD7" i="17"/>
  <c r="CE7" i="17"/>
  <c r="AB44" i="29"/>
  <c r="AC35" i="29"/>
  <c r="CE11" i="17"/>
  <c r="CD11" i="17"/>
  <c r="AB33" i="29"/>
  <c r="AC33" i="29"/>
  <c r="CH11" i="17"/>
  <c r="CG11" i="17"/>
  <c r="AC38" i="29"/>
  <c r="AB39" i="29"/>
  <c r="AC39" i="29"/>
  <c r="AB36" i="29"/>
  <c r="CE6" i="17"/>
  <c r="AB43" i="29"/>
  <c r="CD6" i="17"/>
  <c r="Z41" i="29"/>
  <c r="CG7" i="17"/>
  <c r="CH7" i="17"/>
  <c r="AC44" i="29"/>
  <c r="L65" i="29"/>
  <c r="Y25" i="29" s="1"/>
  <c r="L100" i="29"/>
  <c r="Y15" i="29" s="1"/>
  <c r="L124" i="29"/>
  <c r="Y28" i="29" s="1"/>
  <c r="I124" i="29"/>
  <c r="X28" i="29" s="1"/>
  <c r="I100" i="29"/>
  <c r="X15" i="29" s="1"/>
  <c r="I65" i="29"/>
  <c r="L3" i="29"/>
  <c r="Y13" i="29" s="1"/>
  <c r="L45" i="29"/>
  <c r="Y17" i="29" s="1"/>
  <c r="I3" i="29"/>
  <c r="X13" i="29" s="1"/>
  <c r="I45" i="29"/>
  <c r="X17" i="29" s="1"/>
  <c r="DA11" i="26"/>
  <c r="CZ13" i="26" s="1"/>
  <c r="DA17" i="26" l="1"/>
  <c r="DA41" i="26" s="1"/>
  <c r="DB20" i="26"/>
  <c r="CW19" i="26"/>
  <c r="CW43" i="26" s="1"/>
  <c r="DC17" i="26"/>
  <c r="DC41" i="26" s="1"/>
  <c r="CX16" i="26"/>
  <c r="CX40" i="26" s="1"/>
  <c r="DD14" i="26"/>
  <c r="CY13" i="26"/>
  <c r="DA20" i="26"/>
  <c r="DG18" i="26"/>
  <c r="DB17" i="26"/>
  <c r="DB41" i="26" s="1"/>
  <c r="CW16" i="26"/>
  <c r="CW40" i="26" s="1"/>
  <c r="DC14" i="26"/>
  <c r="CX13" i="26"/>
  <c r="DF18" i="26"/>
  <c r="CY20" i="26"/>
  <c r="DC18" i="26"/>
  <c r="CV17" i="26"/>
  <c r="DF19" i="26"/>
  <c r="DA18" i="26"/>
  <c r="DA42" i="26" s="1"/>
  <c r="DG16" i="26"/>
  <c r="DB15" i="26"/>
  <c r="DB39" i="26" s="1"/>
  <c r="CW14" i="26"/>
  <c r="CW13" i="26"/>
  <c r="CV16" i="26"/>
  <c r="DE19" i="26"/>
  <c r="CZ18" i="26"/>
  <c r="CZ42" i="26" s="1"/>
  <c r="DF16" i="26"/>
  <c r="DF40" i="26" s="1"/>
  <c r="DA15" i="26"/>
  <c r="DA39" i="26" s="1"/>
  <c r="DG13" i="26"/>
  <c r="CV13" i="26"/>
  <c r="DF15" i="26"/>
  <c r="CZ14" i="26"/>
  <c r="CZ38" i="26" s="1"/>
  <c r="CY14" i="26"/>
  <c r="CY38" i="26" s="1"/>
  <c r="CV15" i="26"/>
  <c r="DD19" i="26"/>
  <c r="CY18" i="26"/>
  <c r="CY42" i="26" s="1"/>
  <c r="DE16" i="26"/>
  <c r="DE40" i="26" s="1"/>
  <c r="CZ15" i="26"/>
  <c r="CZ39" i="26" s="1"/>
  <c r="DF13" i="26"/>
  <c r="DE18" i="26"/>
  <c r="CY17" i="26"/>
  <c r="CY41" i="26" s="1"/>
  <c r="CX17" i="26"/>
  <c r="CX41" i="26" s="1"/>
  <c r="DG19" i="26"/>
  <c r="CV14" i="26"/>
  <c r="DC19" i="26"/>
  <c r="CX18" i="26"/>
  <c r="CX42" i="26" s="1"/>
  <c r="DD16" i="26"/>
  <c r="DD40" i="26" s="1"/>
  <c r="CY15" i="26"/>
  <c r="CY39" i="26" s="1"/>
  <c r="DE13" i="26"/>
  <c r="CZ20" i="26"/>
  <c r="DD18" i="26"/>
  <c r="CW20" i="26"/>
  <c r="DG20" i="26"/>
  <c r="DB19" i="26"/>
  <c r="DB43" i="26" s="1"/>
  <c r="CW18" i="26"/>
  <c r="CW42" i="26" s="1"/>
  <c r="CX56" i="26" s="1"/>
  <c r="DC16" i="26"/>
  <c r="DC40" i="26" s="1"/>
  <c r="CX15" i="26"/>
  <c r="CX39" i="26" s="1"/>
  <c r="DD13" i="26"/>
  <c r="DG15" i="26"/>
  <c r="DA14" i="26"/>
  <c r="DA38" i="26" s="1"/>
  <c r="DB18" i="26"/>
  <c r="DB42" i="26" s="1"/>
  <c r="DF20" i="26"/>
  <c r="DA19" i="26"/>
  <c r="DA43" i="26" s="1"/>
  <c r="DG17" i="26"/>
  <c r="DB16" i="26"/>
  <c r="DB40" i="26" s="1"/>
  <c r="CW15" i="26"/>
  <c r="CW39" i="26" s="1"/>
  <c r="DC13" i="26"/>
  <c r="CX20" i="26"/>
  <c r="CV19" i="26"/>
  <c r="CW17" i="26"/>
  <c r="CW41" i="26" s="1"/>
  <c r="DE20" i="26"/>
  <c r="CZ19" i="26"/>
  <c r="CZ43" i="26" s="1"/>
  <c r="DF17" i="26"/>
  <c r="DF41" i="26" s="1"/>
  <c r="DA16" i="26"/>
  <c r="DA40" i="26" s="1"/>
  <c r="DG14" i="26"/>
  <c r="DB13" i="26"/>
  <c r="DB14" i="26"/>
  <c r="CV20" i="26"/>
  <c r="DD15" i="26"/>
  <c r="CX14" i="26"/>
  <c r="CX38" i="26" s="1"/>
  <c r="DD20" i="26"/>
  <c r="CY19" i="26"/>
  <c r="CY43" i="26" s="1"/>
  <c r="DE17" i="26"/>
  <c r="DE41" i="26" s="1"/>
  <c r="CZ16" i="26"/>
  <c r="CZ40" i="26" s="1"/>
  <c r="DF14" i="26"/>
  <c r="DA13" i="26"/>
  <c r="CZ17" i="26"/>
  <c r="CZ41" i="26" s="1"/>
  <c r="DE15" i="26"/>
  <c r="CV18" i="26"/>
  <c r="DC15" i="26"/>
  <c r="DC39" i="26" s="1"/>
  <c r="DC20" i="26"/>
  <c r="CX19" i="26"/>
  <c r="CX43" i="26" s="1"/>
  <c r="DD17" i="26"/>
  <c r="DD41" i="26" s="1"/>
  <c r="CY16" i="26"/>
  <c r="CY40" i="26" s="1"/>
  <c r="CX48" i="26" s="1"/>
  <c r="CY48" i="26" s="1"/>
  <c r="DE14" i="26"/>
  <c r="X25" i="29"/>
  <c r="Z38" i="29" s="1"/>
  <c r="CA10" i="17"/>
  <c r="CB10" i="17"/>
  <c r="AA40" i="29"/>
  <c r="AA38" i="29"/>
  <c r="AA39" i="29"/>
  <c r="BY7" i="17"/>
  <c r="Z44" i="29"/>
  <c r="BX7" i="17"/>
  <c r="CA7" i="17"/>
  <c r="CB7" i="17"/>
  <c r="AA44" i="29"/>
  <c r="AA36" i="29"/>
  <c r="CB6" i="17"/>
  <c r="AA43" i="29"/>
  <c r="CA6" i="17"/>
  <c r="AA35" i="29"/>
  <c r="AA42" i="29"/>
  <c r="CA5" i="17"/>
  <c r="AA34" i="29"/>
  <c r="CB5" i="17"/>
  <c r="AA33" i="29"/>
  <c r="Z36" i="29"/>
  <c r="BY6" i="17"/>
  <c r="BX6" i="17"/>
  <c r="Z35" i="29"/>
  <c r="BY11" i="17"/>
  <c r="BX11" i="17"/>
  <c r="Z42" i="29"/>
  <c r="BY5" i="17"/>
  <c r="BX5" i="17"/>
  <c r="Z34" i="29"/>
  <c r="Z33" i="29"/>
  <c r="CB11" i="17"/>
  <c r="CA11" i="17"/>
  <c r="Y14" i="12"/>
  <c r="Y15" i="12"/>
  <c r="W22" i="12"/>
  <c r="CX52" i="26" l="1"/>
  <c r="CY52" i="26" s="1"/>
  <c r="N41" i="18" s="1"/>
  <c r="CX50" i="26"/>
  <c r="CX58" i="26"/>
  <c r="CY58" i="26" s="1"/>
  <c r="N128" i="18" s="1"/>
  <c r="CX53" i="26"/>
  <c r="CY53" i="26" s="1"/>
  <c r="N107" i="18" s="1"/>
  <c r="CY56" i="26"/>
  <c r="N110" i="18" s="1"/>
  <c r="CY50" i="26"/>
  <c r="N39" i="18" s="1"/>
  <c r="CX57" i="26"/>
  <c r="CX55" i="26"/>
  <c r="CX59" i="26"/>
  <c r="CX61" i="26"/>
  <c r="CY61" i="26" s="1"/>
  <c r="CZ61" i="26" s="1"/>
  <c r="CX54" i="26"/>
  <c r="CX46" i="26"/>
  <c r="CY46" i="26" s="1"/>
  <c r="DC38" i="26"/>
  <c r="CU29" i="26"/>
  <c r="DB38" i="26"/>
  <c r="CU28" i="26"/>
  <c r="CX47" i="26"/>
  <c r="CU26" i="26"/>
  <c r="CU23" i="26"/>
  <c r="CW38" i="26"/>
  <c r="CU25" i="26"/>
  <c r="CU24" i="26"/>
  <c r="CX49" i="26"/>
  <c r="CX60" i="26"/>
  <c r="CU27" i="26"/>
  <c r="N37" i="18"/>
  <c r="CX51" i="26"/>
  <c r="BY10" i="17"/>
  <c r="BX10" i="17"/>
  <c r="Z39" i="29"/>
  <c r="Z43" i="29"/>
  <c r="Z40" i="29"/>
  <c r="H10" i="17"/>
  <c r="G10" i="17"/>
  <c r="AV26" i="14"/>
  <c r="AV27" i="14"/>
  <c r="M110" i="13"/>
  <c r="F65" i="18" s="1"/>
  <c r="M111" i="13"/>
  <c r="F128" i="18" s="1"/>
  <c r="M112" i="13"/>
  <c r="F129" i="18" s="1"/>
  <c r="M113" i="13"/>
  <c r="F130" i="18" s="1"/>
  <c r="M109" i="13"/>
  <c r="F111" i="18" s="1"/>
  <c r="I107" i="13"/>
  <c r="E109" i="18" s="1"/>
  <c r="I108" i="13"/>
  <c r="E110" i="18" s="1"/>
  <c r="I109" i="13"/>
  <c r="E111" i="18" s="1"/>
  <c r="I110" i="13"/>
  <c r="E65" i="18" s="1"/>
  <c r="I111" i="13"/>
  <c r="E128" i="18" s="1"/>
  <c r="I112" i="13"/>
  <c r="E129" i="18" s="1"/>
  <c r="I113" i="13"/>
  <c r="E130" i="18" s="1"/>
  <c r="I106" i="13"/>
  <c r="E108" i="18" s="1"/>
  <c r="M108" i="13"/>
  <c r="F110" i="18" s="1"/>
  <c r="M107" i="13"/>
  <c r="F109" i="18" s="1"/>
  <c r="M106" i="13"/>
  <c r="F108" i="18" s="1"/>
  <c r="M105" i="13"/>
  <c r="F107" i="18" s="1"/>
  <c r="I105" i="13"/>
  <c r="E107" i="18" s="1"/>
  <c r="M104" i="13"/>
  <c r="F41" i="18" s="1"/>
  <c r="I104" i="13"/>
  <c r="E41" i="18" s="1"/>
  <c r="M103" i="13"/>
  <c r="F40" i="18" s="1"/>
  <c r="I103" i="13"/>
  <c r="E40" i="18" s="1"/>
  <c r="M102" i="13"/>
  <c r="F39" i="18" s="1"/>
  <c r="I102" i="13"/>
  <c r="E39" i="18" s="1"/>
  <c r="M101" i="13"/>
  <c r="F38" i="18" s="1"/>
  <c r="I101" i="13"/>
  <c r="E38" i="18" s="1"/>
  <c r="M100" i="13"/>
  <c r="F37" i="18" s="1"/>
  <c r="I100" i="13"/>
  <c r="E37" i="18" s="1"/>
  <c r="M99" i="13"/>
  <c r="F10" i="18" s="1"/>
  <c r="I99" i="13"/>
  <c r="E10" i="18" s="1"/>
  <c r="M98" i="13"/>
  <c r="F9" i="18" s="1"/>
  <c r="I98" i="13"/>
  <c r="E9" i="18" s="1"/>
  <c r="Q129" i="18"/>
  <c r="Q130" i="18"/>
  <c r="T129" i="18"/>
  <c r="T130" i="18"/>
  <c r="T128" i="18"/>
  <c r="Q128" i="18"/>
  <c r="T108" i="18"/>
  <c r="T109" i="18"/>
  <c r="T110" i="18"/>
  <c r="T111" i="18"/>
  <c r="Q108" i="18"/>
  <c r="Q109" i="18"/>
  <c r="Q110" i="18"/>
  <c r="Q111" i="18"/>
  <c r="T107" i="18"/>
  <c r="Q107" i="18"/>
  <c r="T65" i="18"/>
  <c r="Q65" i="18"/>
  <c r="T39" i="18"/>
  <c r="T40" i="18"/>
  <c r="T41" i="18"/>
  <c r="Q38" i="18"/>
  <c r="Q39" i="18"/>
  <c r="Q40" i="18"/>
  <c r="Q41" i="18"/>
  <c r="T37" i="18"/>
  <c r="Q37" i="18"/>
  <c r="CF14" i="27"/>
  <c r="CF13" i="27"/>
  <c r="CF8" i="27"/>
  <c r="CF3" i="27"/>
  <c r="CB14" i="27"/>
  <c r="CB13" i="27"/>
  <c r="CB8" i="27"/>
  <c r="CB3" i="27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BH27" i="15"/>
  <c r="BG27" i="15"/>
  <c r="BF27" i="15"/>
  <c r="BE27" i="15"/>
  <c r="BD27" i="15"/>
  <c r="BC27" i="15"/>
  <c r="BB27" i="15"/>
  <c r="BB51" i="15" s="1"/>
  <c r="BA27" i="15"/>
  <c r="BA51" i="15" s="1"/>
  <c r="AZ27" i="15"/>
  <c r="AZ51" i="15" s="1"/>
  <c r="AY27" i="15"/>
  <c r="AY51" i="15" s="1"/>
  <c r="AX27" i="15"/>
  <c r="AW27" i="15"/>
  <c r="BH26" i="15"/>
  <c r="BG26" i="15"/>
  <c r="BF26" i="15"/>
  <c r="BE26" i="15"/>
  <c r="BD26" i="15"/>
  <c r="BD50" i="15" s="1"/>
  <c r="BC26" i="15"/>
  <c r="BC50" i="15" s="1"/>
  <c r="BB26" i="15"/>
  <c r="BB50" i="15" s="1"/>
  <c r="BA26" i="15"/>
  <c r="BA50" i="15" s="1"/>
  <c r="AZ26" i="15"/>
  <c r="AZ50" i="15" s="1"/>
  <c r="AY26" i="15"/>
  <c r="AY50" i="15" s="1"/>
  <c r="AX26" i="15"/>
  <c r="AW26" i="15"/>
  <c r="BH25" i="15"/>
  <c r="BG25" i="15"/>
  <c r="BF25" i="15"/>
  <c r="BE25" i="15"/>
  <c r="BD25" i="15"/>
  <c r="BD49" i="15" s="1"/>
  <c r="BC25" i="15"/>
  <c r="BC49" i="15" s="1"/>
  <c r="BB25" i="15"/>
  <c r="BB49" i="15" s="1"/>
  <c r="BA25" i="15"/>
  <c r="BA49" i="15" s="1"/>
  <c r="AZ25" i="15"/>
  <c r="AZ49" i="15" s="1"/>
  <c r="AY25" i="15"/>
  <c r="AY49" i="15" s="1"/>
  <c r="AX25" i="15"/>
  <c r="AW25" i="15"/>
  <c r="BH24" i="15"/>
  <c r="BG24" i="15"/>
  <c r="BF24" i="15"/>
  <c r="BE24" i="15"/>
  <c r="BD24" i="15"/>
  <c r="BD48" i="15" s="1"/>
  <c r="BC24" i="15"/>
  <c r="BC48" i="15" s="1"/>
  <c r="BB24" i="15"/>
  <c r="BB48" i="15" s="1"/>
  <c r="BA24" i="15"/>
  <c r="BA48" i="15" s="1"/>
  <c r="AZ24" i="15"/>
  <c r="AZ48" i="15" s="1"/>
  <c r="AY24" i="15"/>
  <c r="AY48" i="15" s="1"/>
  <c r="AX24" i="15"/>
  <c r="AX48" i="15" s="1"/>
  <c r="AW24" i="15"/>
  <c r="AW48" i="15" s="1"/>
  <c r="BH23" i="15"/>
  <c r="BG23" i="15"/>
  <c r="BF23" i="15"/>
  <c r="BE23" i="15"/>
  <c r="BD23" i="15"/>
  <c r="BD47" i="15" s="1"/>
  <c r="BC23" i="15"/>
  <c r="BC47" i="15" s="1"/>
  <c r="BB23" i="15"/>
  <c r="BB47" i="15" s="1"/>
  <c r="BA23" i="15"/>
  <c r="BA47" i="15" s="1"/>
  <c r="AZ23" i="15"/>
  <c r="AZ47" i="15" s="1"/>
  <c r="AY23" i="15"/>
  <c r="AY47" i="15" s="1"/>
  <c r="AX23" i="15"/>
  <c r="AX47" i="15" s="1"/>
  <c r="AW23" i="15"/>
  <c r="AW47" i="15" s="1"/>
  <c r="BH22" i="15"/>
  <c r="BG22" i="15"/>
  <c r="BF22" i="15"/>
  <c r="BF46" i="15" s="1"/>
  <c r="BE22" i="15"/>
  <c r="BE46" i="15" s="1"/>
  <c r="BD22" i="15"/>
  <c r="BD46" i="15" s="1"/>
  <c r="BC22" i="15"/>
  <c r="BC46" i="15" s="1"/>
  <c r="BB22" i="15"/>
  <c r="BA22" i="15"/>
  <c r="BA46" i="15" s="1"/>
  <c r="AZ22" i="15"/>
  <c r="AZ46" i="15" s="1"/>
  <c r="AY22" i="15"/>
  <c r="AY46" i="15" s="1"/>
  <c r="AX22" i="15"/>
  <c r="AX46" i="15" s="1"/>
  <c r="AW22" i="15"/>
  <c r="AW46" i="15" s="1"/>
  <c r="BH21" i="15"/>
  <c r="BG21" i="15"/>
  <c r="BF21" i="15"/>
  <c r="BE21" i="15"/>
  <c r="BE45" i="15" s="1"/>
  <c r="BD21" i="15"/>
  <c r="BD45" i="15" s="1"/>
  <c r="BC21" i="15"/>
  <c r="BC45" i="15" s="1"/>
  <c r="BB21" i="15"/>
  <c r="BB45" i="15" s="1"/>
  <c r="BA21" i="15"/>
  <c r="BA45" i="15" s="1"/>
  <c r="AZ21" i="15"/>
  <c r="AZ45" i="15" s="1"/>
  <c r="AY21" i="15"/>
  <c r="AX21" i="15"/>
  <c r="AW21" i="15"/>
  <c r="AW45" i="15" s="1"/>
  <c r="BB11" i="14"/>
  <c r="BD14" i="14" s="1"/>
  <c r="BD38" i="14" s="1"/>
  <c r="CK11" i="26"/>
  <c r="CO14" i="26" s="1"/>
  <c r="CO38" i="26" s="1"/>
  <c r="BU11" i="26"/>
  <c r="BR13" i="26" s="1"/>
  <c r="T38" i="12"/>
  <c r="T36" i="12"/>
  <c r="T35" i="12"/>
  <c r="T26" i="12"/>
  <c r="AV40" i="15" l="1"/>
  <c r="Z128" i="18"/>
  <c r="Z129" i="18"/>
  <c r="Z110" i="18"/>
  <c r="Z109" i="18"/>
  <c r="Z37" i="18"/>
  <c r="AY66" i="15"/>
  <c r="BD18" i="14"/>
  <c r="AX13" i="14"/>
  <c r="Z9" i="18"/>
  <c r="Z41" i="18"/>
  <c r="G108" i="18"/>
  <c r="AZ20" i="14"/>
  <c r="G10" i="18"/>
  <c r="G107" i="18"/>
  <c r="CO18" i="26"/>
  <c r="CO42" i="26" s="1"/>
  <c r="CM15" i="26"/>
  <c r="CM39" i="26" s="1"/>
  <c r="CM14" i="26"/>
  <c r="CM38" i="26" s="1"/>
  <c r="G65" i="18"/>
  <c r="Z130" i="18"/>
  <c r="BA20" i="14"/>
  <c r="G111" i="18"/>
  <c r="BE18" i="14"/>
  <c r="Z10" i="18"/>
  <c r="Z107" i="18"/>
  <c r="CY54" i="26"/>
  <c r="BF17" i="14"/>
  <c r="G130" i="18"/>
  <c r="N65" i="18"/>
  <c r="P65" i="18" s="1"/>
  <c r="CY59" i="26"/>
  <c r="N129" i="18" s="1"/>
  <c r="P129" i="18" s="1"/>
  <c r="AZ14" i="14"/>
  <c r="AZ38" i="14" s="1"/>
  <c r="G37" i="18"/>
  <c r="G109" i="18"/>
  <c r="G129" i="18"/>
  <c r="CY51" i="26"/>
  <c r="N40" i="18" s="1"/>
  <c r="P40" i="18" s="1"/>
  <c r="CY55" i="26"/>
  <c r="N109" i="18" s="1"/>
  <c r="P109" i="18" s="1"/>
  <c r="P110" i="18"/>
  <c r="G110" i="18"/>
  <c r="G128" i="18"/>
  <c r="CY47" i="26"/>
  <c r="N10" i="18" s="1"/>
  <c r="P10" i="18" s="1"/>
  <c r="CY57" i="26"/>
  <c r="N111" i="18" s="1"/>
  <c r="P111" i="18" s="1"/>
  <c r="G9" i="18"/>
  <c r="P41" i="18"/>
  <c r="G41" i="18"/>
  <c r="BY16" i="26"/>
  <c r="BY40" i="26" s="1"/>
  <c r="BC13" i="14"/>
  <c r="BC37" i="14" s="1"/>
  <c r="CQ15" i="26"/>
  <c r="BB13" i="14"/>
  <c r="BB37" i="14" s="1"/>
  <c r="G38" i="18"/>
  <c r="Z108" i="18"/>
  <c r="CY60" i="26"/>
  <c r="N130" i="18" s="1"/>
  <c r="P130" i="18" s="1"/>
  <c r="P39" i="18"/>
  <c r="G39" i="18"/>
  <c r="CY49" i="26"/>
  <c r="N38" i="18" s="1"/>
  <c r="P38" i="18" s="1"/>
  <c r="AW19" i="14"/>
  <c r="AW43" i="14" s="1"/>
  <c r="AY56" i="15"/>
  <c r="K37" i="18" s="1"/>
  <c r="M37" i="18" s="1"/>
  <c r="AY58" i="15"/>
  <c r="K39" i="18" s="1"/>
  <c r="M39" i="18" s="1"/>
  <c r="AY60" i="15"/>
  <c r="K41" i="18" s="1"/>
  <c r="M41" i="18" s="1"/>
  <c r="G40" i="18"/>
  <c r="Z65" i="18"/>
  <c r="Z39" i="18"/>
  <c r="Z40" i="18"/>
  <c r="Z38" i="18"/>
  <c r="Z111" i="18"/>
  <c r="BY20" i="26"/>
  <c r="BW20" i="26"/>
  <c r="BS20" i="26"/>
  <c r="BC18" i="14"/>
  <c r="BT15" i="26"/>
  <c r="BT39" i="26" s="1"/>
  <c r="BR15" i="26"/>
  <c r="BR39" i="26" s="1"/>
  <c r="BQ15" i="26"/>
  <c r="BQ39" i="26" s="1"/>
  <c r="BR20" i="26"/>
  <c r="CA14" i="26"/>
  <c r="AW20" i="14"/>
  <c r="AW44" i="14" s="1"/>
  <c r="BG17" i="14"/>
  <c r="BX16" i="26"/>
  <c r="BX40" i="26" s="1"/>
  <c r="BW13" i="26"/>
  <c r="BW18" i="26"/>
  <c r="BU13" i="26"/>
  <c r="AW18" i="14"/>
  <c r="BE17" i="14"/>
  <c r="BY18" i="26"/>
  <c r="BV18" i="26"/>
  <c r="BT13" i="26"/>
  <c r="BF20" i="14"/>
  <c r="BA16" i="14"/>
  <c r="BA40" i="14" s="1"/>
  <c r="AY62" i="15"/>
  <c r="K108" i="18" s="1"/>
  <c r="M108" i="18" s="1"/>
  <c r="BE20" i="14"/>
  <c r="BG14" i="14"/>
  <c r="BF45" i="15"/>
  <c r="BQ17" i="26"/>
  <c r="BQ41" i="26" s="1"/>
  <c r="CG19" i="26"/>
  <c r="CG43" i="26" s="1"/>
  <c r="BD20" i="14"/>
  <c r="BB14" i="14"/>
  <c r="BB38" i="14" s="1"/>
  <c r="BU18" i="26"/>
  <c r="BU42" i="26" s="1"/>
  <c r="BZ16" i="26"/>
  <c r="BZ40" i="26" s="1"/>
  <c r="CP18" i="26"/>
  <c r="BB20" i="14"/>
  <c r="BA14" i="14"/>
  <c r="BA38" i="14" s="1"/>
  <c r="AY61" i="15"/>
  <c r="K107" i="18" s="1"/>
  <c r="M107" i="18" s="1"/>
  <c r="BX20" i="26"/>
  <c r="BX18" i="26"/>
  <c r="CA16" i="26"/>
  <c r="BS15" i="26"/>
  <c r="BS39" i="26" s="1"/>
  <c r="BV13" i="26"/>
  <c r="CQ18" i="26"/>
  <c r="CP15" i="26"/>
  <c r="CP39" i="26" s="1"/>
  <c r="AY57" i="15"/>
  <c r="K38" i="18" s="1"/>
  <c r="M38" i="18" s="1"/>
  <c r="AY68" i="15"/>
  <c r="K129" i="18" s="1"/>
  <c r="M129" i="18" s="1"/>
  <c r="P128" i="18"/>
  <c r="CM18" i="26"/>
  <c r="CM42" i="26" s="1"/>
  <c r="P107" i="18"/>
  <c r="BP13" i="26"/>
  <c r="CA19" i="26"/>
  <c r="BS18" i="26"/>
  <c r="BS42" i="26" s="1"/>
  <c r="BV16" i="26"/>
  <c r="BV40" i="26" s="1"/>
  <c r="BY14" i="26"/>
  <c r="CF20" i="26"/>
  <c r="CL18" i="26"/>
  <c r="CL42" i="26" s="1"/>
  <c r="CJ14" i="26"/>
  <c r="CJ38" i="26" s="1"/>
  <c r="BC20" i="14"/>
  <c r="BD17" i="14"/>
  <c r="BA13" i="14"/>
  <c r="BA37" i="14" s="1"/>
  <c r="CF13" i="26"/>
  <c r="BP20" i="26"/>
  <c r="BZ19" i="26"/>
  <c r="BR18" i="26"/>
  <c r="BR42" i="26" s="1"/>
  <c r="BU16" i="26"/>
  <c r="BU40" i="26" s="1"/>
  <c r="BU14" i="26"/>
  <c r="BU38" i="26" s="1"/>
  <c r="CF19" i="26"/>
  <c r="CP17" i="26"/>
  <c r="CI14" i="26"/>
  <c r="CI38" i="26" s="1"/>
  <c r="AY17" i="14"/>
  <c r="AY41" i="14" s="1"/>
  <c r="AZ13" i="14"/>
  <c r="AZ37" i="14" s="1"/>
  <c r="AY67" i="15"/>
  <c r="K128" i="18" s="1"/>
  <c r="M128" i="18" s="1"/>
  <c r="BQ20" i="26"/>
  <c r="BP19" i="26"/>
  <c r="BY19" i="26"/>
  <c r="BQ18" i="26"/>
  <c r="BQ42" i="26" s="1"/>
  <c r="BT16" i="26"/>
  <c r="BT40" i="26" s="1"/>
  <c r="BT14" i="26"/>
  <c r="CF18" i="26"/>
  <c r="CM17" i="26"/>
  <c r="CM41" i="26" s="1"/>
  <c r="CH14" i="26"/>
  <c r="CH38" i="26" s="1"/>
  <c r="BB16" i="14"/>
  <c r="BB40" i="14" s="1"/>
  <c r="AY13" i="14"/>
  <c r="AY37" i="14" s="1"/>
  <c r="AY48" i="14" s="1"/>
  <c r="I37" i="18" s="1"/>
  <c r="J37" i="18" s="1"/>
  <c r="AY65" i="15"/>
  <c r="K111" i="18" s="1"/>
  <c r="M111" i="18" s="1"/>
  <c r="CN18" i="26"/>
  <c r="CN42" i="26" s="1"/>
  <c r="BP18" i="26"/>
  <c r="CO20" i="26"/>
  <c r="CH17" i="26"/>
  <c r="CH41" i="26" s="1"/>
  <c r="CK13" i="26"/>
  <c r="AY59" i="15"/>
  <c r="K40" i="18" s="1"/>
  <c r="M40" i="18" s="1"/>
  <c r="BT18" i="26"/>
  <c r="BT42" i="26" s="1"/>
  <c r="BS14" i="26"/>
  <c r="BP17" i="26"/>
  <c r="BW19" i="26"/>
  <c r="BZ17" i="26"/>
  <c r="BZ41" i="26" s="1"/>
  <c r="BZ15" i="26"/>
  <c r="BR14" i="26"/>
  <c r="CN20" i="26"/>
  <c r="CG17" i="26"/>
  <c r="CG41" i="26" s="1"/>
  <c r="CJ13" i="26"/>
  <c r="AY20" i="14"/>
  <c r="AZ16" i="14"/>
  <c r="AZ40" i="14" s="1"/>
  <c r="BW16" i="26"/>
  <c r="BW40" i="26" s="1"/>
  <c r="BS16" i="26"/>
  <c r="BS40" i="26" s="1"/>
  <c r="BP16" i="26"/>
  <c r="BV19" i="26"/>
  <c r="BY17" i="26"/>
  <c r="BY41" i="26" s="1"/>
  <c r="BY15" i="26"/>
  <c r="BQ14" i="26"/>
  <c r="BQ38" i="26" s="1"/>
  <c r="CM20" i="26"/>
  <c r="CK16" i="26"/>
  <c r="CK40" i="26" s="1"/>
  <c r="CG13" i="26"/>
  <c r="AY19" i="14"/>
  <c r="AY16" i="14"/>
  <c r="AY40" i="14" s="1"/>
  <c r="AY64" i="15"/>
  <c r="K110" i="18" s="1"/>
  <c r="M110" i="18" s="1"/>
  <c r="CL14" i="26"/>
  <c r="CL38" i="26" s="1"/>
  <c r="CA17" i="26"/>
  <c r="BP15" i="26"/>
  <c r="BU19" i="26"/>
  <c r="BU43" i="26" s="1"/>
  <c r="BX17" i="26"/>
  <c r="BX41" i="26" s="1"/>
  <c r="BR53" i="26" s="1"/>
  <c r="BX15" i="26"/>
  <c r="BX39" i="26" s="1"/>
  <c r="CA13" i="26"/>
  <c r="CL20" i="26"/>
  <c r="CJ16" i="26"/>
  <c r="CJ40" i="26" s="1"/>
  <c r="AX19" i="14"/>
  <c r="AX43" i="14" s="1"/>
  <c r="AX16" i="14"/>
  <c r="AV36" i="15"/>
  <c r="CZ48" i="26"/>
  <c r="BZ14" i="26"/>
  <c r="BX19" i="26"/>
  <c r="BP14" i="26"/>
  <c r="BT19" i="26"/>
  <c r="BT43" i="26" s="1"/>
  <c r="BT17" i="26"/>
  <c r="BT41" i="26" s="1"/>
  <c r="BW15" i="26"/>
  <c r="BW39" i="26" s="1"/>
  <c r="BZ13" i="26"/>
  <c r="CK20" i="26"/>
  <c r="CI16" i="26"/>
  <c r="CI40" i="26" s="1"/>
  <c r="BH18" i="14"/>
  <c r="BH15" i="14"/>
  <c r="BB46" i="15"/>
  <c r="P37" i="18"/>
  <c r="N9" i="18"/>
  <c r="BS19" i="26"/>
  <c r="BS43" i="26" s="1"/>
  <c r="BS17" i="26"/>
  <c r="BS41" i="26" s="1"/>
  <c r="BV15" i="26"/>
  <c r="BV39" i="26" s="1"/>
  <c r="BY13" i="26"/>
  <c r="CH20" i="26"/>
  <c r="CH16" i="26"/>
  <c r="CH40" i="26" s="1"/>
  <c r="BG18" i="14"/>
  <c r="BG15" i="14"/>
  <c r="CK14" i="26"/>
  <c r="CK38" i="26" s="1"/>
  <c r="CA20" i="26"/>
  <c r="BZ20" i="26"/>
  <c r="BR19" i="26"/>
  <c r="BR43" i="26" s="1"/>
  <c r="BR17" i="26"/>
  <c r="BR41" i="26" s="1"/>
  <c r="BU15" i="26"/>
  <c r="BU39" i="26" s="1"/>
  <c r="BX13" i="26"/>
  <c r="CH19" i="26"/>
  <c r="CH43" i="26" s="1"/>
  <c r="CG16" i="26"/>
  <c r="CG40" i="26" s="1"/>
  <c r="AW13" i="14"/>
  <c r="BF18" i="14"/>
  <c r="BF15" i="14"/>
  <c r="AY63" i="15"/>
  <c r="K109" i="18" s="1"/>
  <c r="M109" i="18" s="1"/>
  <c r="V37" i="18"/>
  <c r="V39" i="18"/>
  <c r="V111" i="18"/>
  <c r="S111" i="18"/>
  <c r="K65" i="18"/>
  <c r="M65" i="18" s="1"/>
  <c r="AZ66" i="15"/>
  <c r="AY55" i="15"/>
  <c r="K10" i="18" s="1"/>
  <c r="M10" i="18" s="1"/>
  <c r="AY69" i="15"/>
  <c r="K130" i="18" s="1"/>
  <c r="M130" i="18" s="1"/>
  <c r="CL13" i="26"/>
  <c r="AX45" i="15"/>
  <c r="AV32" i="15"/>
  <c r="AV39" i="15"/>
  <c r="CJ20" i="26"/>
  <c r="CO17" i="26"/>
  <c r="CO15" i="26"/>
  <c r="CO39" i="26" s="1"/>
  <c r="CI13" i="26"/>
  <c r="BE15" i="14"/>
  <c r="AY45" i="15"/>
  <c r="AV33" i="15"/>
  <c r="AV38" i="15"/>
  <c r="CI20" i="26"/>
  <c r="CN17" i="26"/>
  <c r="CN15" i="26"/>
  <c r="CN39" i="26" s="1"/>
  <c r="CH13" i="26"/>
  <c r="BH14" i="14"/>
  <c r="AV37" i="15"/>
  <c r="CG20" i="26"/>
  <c r="CL17" i="26"/>
  <c r="CL41" i="26" s="1"/>
  <c r="CQ14" i="26"/>
  <c r="AX20" i="14"/>
  <c r="AX44" i="14" s="1"/>
  <c r="BC17" i="14"/>
  <c r="BF14" i="14"/>
  <c r="AV35" i="15"/>
  <c r="CQ19" i="26"/>
  <c r="CK17" i="26"/>
  <c r="CK41" i="26" s="1"/>
  <c r="CP14" i="26"/>
  <c r="CP38" i="26" s="1"/>
  <c r="BH19" i="14"/>
  <c r="BB17" i="14"/>
  <c r="BB41" i="14" s="1"/>
  <c r="BE14" i="14"/>
  <c r="AV34" i="15"/>
  <c r="CJ19" i="26"/>
  <c r="CJ43" i="26" s="1"/>
  <c r="CJ17" i="26"/>
  <c r="CJ41" i="26" s="1"/>
  <c r="BA19" i="14"/>
  <c r="BA17" i="14"/>
  <c r="BA41" i="14" s="1"/>
  <c r="CO13" i="26"/>
  <c r="CI15" i="26"/>
  <c r="CI39" i="26" s="1"/>
  <c r="CN16" i="26"/>
  <c r="CH18" i="26"/>
  <c r="CH42" i="26" s="1"/>
  <c r="CM19" i="26"/>
  <c r="CM43" i="26" s="1"/>
  <c r="CF14" i="26"/>
  <c r="CQ13" i="26"/>
  <c r="CP16" i="26"/>
  <c r="CO19" i="26"/>
  <c r="CO43" i="26" s="1"/>
  <c r="CP13" i="26"/>
  <c r="CJ15" i="26"/>
  <c r="CJ39" i="26" s="1"/>
  <c r="CO16" i="26"/>
  <c r="CI18" i="26"/>
  <c r="CI42" i="26" s="1"/>
  <c r="CN19" i="26"/>
  <c r="CN43" i="26" s="1"/>
  <c r="CF15" i="26"/>
  <c r="CK15" i="26"/>
  <c r="CK39" i="26" s="1"/>
  <c r="CG14" i="26"/>
  <c r="CQ16" i="26"/>
  <c r="CP19" i="26"/>
  <c r="CM13" i="26"/>
  <c r="CG15" i="26"/>
  <c r="CG39" i="26" s="1"/>
  <c r="CL16" i="26"/>
  <c r="CL40" i="26" s="1"/>
  <c r="CQ17" i="26"/>
  <c r="CK19" i="26"/>
  <c r="CK43" i="26" s="1"/>
  <c r="CP20" i="26"/>
  <c r="CN13" i="26"/>
  <c r="CH15" i="26"/>
  <c r="CH39" i="26" s="1"/>
  <c r="CM16" i="26"/>
  <c r="CM40" i="26" s="1"/>
  <c r="CG18" i="26"/>
  <c r="CG42" i="26" s="1"/>
  <c r="CL19" i="26"/>
  <c r="CL43" i="26" s="1"/>
  <c r="CQ20" i="26"/>
  <c r="CJ18" i="26"/>
  <c r="CJ42" i="26" s="1"/>
  <c r="CF16" i="26"/>
  <c r="CL15" i="26"/>
  <c r="CL39" i="26" s="1"/>
  <c r="CK18" i="26"/>
  <c r="CK42" i="26" s="1"/>
  <c r="CF17" i="26"/>
  <c r="CI19" i="26"/>
  <c r="CI43" i="26" s="1"/>
  <c r="CI17" i="26"/>
  <c r="CI41" i="26" s="1"/>
  <c r="CN14" i="26"/>
  <c r="BF13" i="14"/>
  <c r="AZ15" i="14"/>
  <c r="AZ39" i="14" s="1"/>
  <c r="BE16" i="14"/>
  <c r="AY18" i="14"/>
  <c r="BD19" i="14"/>
  <c r="AW14" i="14"/>
  <c r="BH13" i="14"/>
  <c r="BB15" i="14"/>
  <c r="BB39" i="14" s="1"/>
  <c r="BG16" i="14"/>
  <c r="BA18" i="14"/>
  <c r="BF19" i="14"/>
  <c r="AW16" i="14"/>
  <c r="BG13" i="14"/>
  <c r="BA15" i="14"/>
  <c r="BA39" i="14" s="1"/>
  <c r="BF16" i="14"/>
  <c r="AZ18" i="14"/>
  <c r="BE19" i="14"/>
  <c r="AW15" i="14"/>
  <c r="BC15" i="14"/>
  <c r="BC39" i="14" s="1"/>
  <c r="BD13" i="14"/>
  <c r="BD37" i="14" s="1"/>
  <c r="AX15" i="14"/>
  <c r="BC16" i="14"/>
  <c r="BC40" i="14" s="1"/>
  <c r="BH17" i="14"/>
  <c r="BB19" i="14"/>
  <c r="BG20" i="14"/>
  <c r="BE13" i="14"/>
  <c r="AY15" i="14"/>
  <c r="AY39" i="14" s="1"/>
  <c r="BD16" i="14"/>
  <c r="BD40" i="14" s="1"/>
  <c r="AX18" i="14"/>
  <c r="BC19" i="14"/>
  <c r="BH20" i="14"/>
  <c r="AX14" i="14"/>
  <c r="BH16" i="14"/>
  <c r="BB18" i="14"/>
  <c r="BG19" i="14"/>
  <c r="AW17" i="14"/>
  <c r="AY14" i="14"/>
  <c r="AY38" i="14" s="1"/>
  <c r="AY49" i="14" s="1"/>
  <c r="I38" i="18" s="1"/>
  <c r="J38" i="18" s="1"/>
  <c r="BD15" i="14"/>
  <c r="BD39" i="14" s="1"/>
  <c r="AX17" i="14"/>
  <c r="AZ19" i="14"/>
  <c r="AZ17" i="14"/>
  <c r="AZ41" i="14" s="1"/>
  <c r="BC14" i="14"/>
  <c r="BC38" i="14" s="1"/>
  <c r="AY59" i="14" s="1"/>
  <c r="I128" i="18" s="1"/>
  <c r="AY54" i="15"/>
  <c r="BT20" i="26"/>
  <c r="BZ18" i="26"/>
  <c r="BU17" i="26"/>
  <c r="BU41" i="26" s="1"/>
  <c r="CA15" i="26"/>
  <c r="BV14" i="26"/>
  <c r="BQ13" i="26"/>
  <c r="BV20" i="26"/>
  <c r="BQ19" i="26"/>
  <c r="BQ43" i="26" s="1"/>
  <c r="BW17" i="26"/>
  <c r="BW41" i="26" s="1"/>
  <c r="BR16" i="26"/>
  <c r="BR40" i="26" s="1"/>
  <c r="BX14" i="26"/>
  <c r="BS13" i="26"/>
  <c r="BU20" i="26"/>
  <c r="CA18" i="26"/>
  <c r="BV17" i="26"/>
  <c r="BV41" i="26" s="1"/>
  <c r="BQ16" i="26"/>
  <c r="BQ40" i="26" s="1"/>
  <c r="BW14" i="26"/>
  <c r="V129" i="18"/>
  <c r="S129" i="18"/>
  <c r="V128" i="18"/>
  <c r="S128" i="18"/>
  <c r="V65" i="18"/>
  <c r="S65" i="18"/>
  <c r="S130" i="18"/>
  <c r="V130" i="18"/>
  <c r="S110" i="18"/>
  <c r="V110" i="18"/>
  <c r="S109" i="18"/>
  <c r="V109" i="18"/>
  <c r="S108" i="18"/>
  <c r="V108" i="18"/>
  <c r="V107" i="18"/>
  <c r="S107" i="18"/>
  <c r="V41" i="18"/>
  <c r="S41" i="18"/>
  <c r="V40" i="18"/>
  <c r="S40" i="18"/>
  <c r="S39" i="18"/>
  <c r="S38" i="18"/>
  <c r="S37" i="18"/>
  <c r="BR54" i="26" l="1"/>
  <c r="AY58" i="14"/>
  <c r="BR57" i="26"/>
  <c r="BR46" i="26"/>
  <c r="BS46" i="26" s="1"/>
  <c r="N102" i="18" s="1"/>
  <c r="BO23" i="26"/>
  <c r="CE28" i="26"/>
  <c r="CH52" i="26"/>
  <c r="CI52" i="26" s="1"/>
  <c r="N122" i="18" s="1"/>
  <c r="AY57" i="14"/>
  <c r="I111" i="18" s="1"/>
  <c r="J111" i="18" s="1"/>
  <c r="BR52" i="26"/>
  <c r="BS52" i="26" s="1"/>
  <c r="N98" i="18" s="1"/>
  <c r="CH61" i="26"/>
  <c r="CI61" i="26" s="1"/>
  <c r="N60" i="18" s="1"/>
  <c r="CH60" i="26"/>
  <c r="CI60" i="26" s="1"/>
  <c r="N59" i="18" s="1"/>
  <c r="CZ58" i="26"/>
  <c r="CZ46" i="26"/>
  <c r="BR56" i="26"/>
  <c r="BS56" i="26" s="1"/>
  <c r="N32" i="18" s="1"/>
  <c r="CE29" i="26"/>
  <c r="AY53" i="14"/>
  <c r="I107" i="18" s="1"/>
  <c r="O107" i="18" s="1"/>
  <c r="AV24" i="14"/>
  <c r="AY46" i="14"/>
  <c r="I9" i="18" s="1"/>
  <c r="J9" i="18" s="1"/>
  <c r="BO26" i="26"/>
  <c r="AY54" i="14"/>
  <c r="I108" i="18" s="1"/>
  <c r="J108" i="18" s="1"/>
  <c r="BR51" i="26"/>
  <c r="BS51" i="26" s="1"/>
  <c r="N97" i="18" s="1"/>
  <c r="BR50" i="26"/>
  <c r="BS50" i="26" s="1"/>
  <c r="N106" i="18" s="1"/>
  <c r="BO24" i="26"/>
  <c r="BR60" i="26"/>
  <c r="BS60" i="26" s="1"/>
  <c r="N36" i="18" s="1"/>
  <c r="AY61" i="14"/>
  <c r="I130" i="18" s="1"/>
  <c r="J130" i="18" s="1"/>
  <c r="AY52" i="14"/>
  <c r="I41" i="18" s="1"/>
  <c r="L41" i="18" s="1"/>
  <c r="CH49" i="26"/>
  <c r="CI49" i="26" s="1"/>
  <c r="N126" i="18" s="1"/>
  <c r="BR38" i="26"/>
  <c r="BR55" i="26"/>
  <c r="BS55" i="26" s="1"/>
  <c r="N101" i="18" s="1"/>
  <c r="CZ53" i="26"/>
  <c r="BS53" i="26"/>
  <c r="N99" i="18" s="1"/>
  <c r="BS54" i="26"/>
  <c r="N100" i="18" s="1"/>
  <c r="BS57" i="26"/>
  <c r="N33" i="18" s="1"/>
  <c r="AY55" i="14"/>
  <c r="I109" i="18" s="1"/>
  <c r="O109" i="18" s="1"/>
  <c r="CH53" i="26"/>
  <c r="CI53" i="26" s="1"/>
  <c r="N61" i="18" s="1"/>
  <c r="CH47" i="26"/>
  <c r="N108" i="18"/>
  <c r="P108" i="18" s="1"/>
  <c r="AY56" i="14"/>
  <c r="I110" i="18" s="1"/>
  <c r="U110" i="18" s="1"/>
  <c r="CH48" i="26"/>
  <c r="BO25" i="26"/>
  <c r="CH58" i="26"/>
  <c r="CH50" i="26"/>
  <c r="J128" i="18"/>
  <c r="O128" i="18"/>
  <c r="AY51" i="14"/>
  <c r="I40" i="18" s="1"/>
  <c r="J40" i="18" s="1"/>
  <c r="AY50" i="14"/>
  <c r="I39" i="18" s="1"/>
  <c r="R39" i="18" s="1"/>
  <c r="AY47" i="14"/>
  <c r="I10" i="18" s="1"/>
  <c r="J10" i="18" s="1"/>
  <c r="BR59" i="26"/>
  <c r="AZ61" i="15"/>
  <c r="O37" i="18"/>
  <c r="CH55" i="26"/>
  <c r="AZ56" i="15"/>
  <c r="AV25" i="14"/>
  <c r="AY60" i="14"/>
  <c r="I129" i="18" s="1"/>
  <c r="O129" i="18" s="1"/>
  <c r="BR48" i="26"/>
  <c r="O38" i="18"/>
  <c r="BT38" i="26"/>
  <c r="P9" i="18"/>
  <c r="CH59" i="26"/>
  <c r="CH54" i="26"/>
  <c r="BR49" i="26"/>
  <c r="BO27" i="26"/>
  <c r="CH46" i="26"/>
  <c r="BR58" i="26"/>
  <c r="BS38" i="26"/>
  <c r="CE27" i="26"/>
  <c r="BR47" i="26"/>
  <c r="CE26" i="26"/>
  <c r="BO28" i="26"/>
  <c r="BV38" i="26"/>
  <c r="CE24" i="26"/>
  <c r="CN38" i="26"/>
  <c r="CE30" i="26"/>
  <c r="BW38" i="26"/>
  <c r="BO29" i="26"/>
  <c r="CH51" i="26"/>
  <c r="AZ54" i="15"/>
  <c r="K9" i="18"/>
  <c r="M9" i="18" s="1"/>
  <c r="CH57" i="26"/>
  <c r="CG38" i="26"/>
  <c r="CE23" i="26"/>
  <c r="BX38" i="26"/>
  <c r="BO30" i="26"/>
  <c r="CH56" i="26"/>
  <c r="CE25" i="26"/>
  <c r="AZ67" i="15"/>
  <c r="R38" i="18"/>
  <c r="L38" i="18"/>
  <c r="U128" i="18"/>
  <c r="R128" i="18"/>
  <c r="L128" i="18"/>
  <c r="R37" i="18"/>
  <c r="U37" i="18"/>
  <c r="L37" i="18"/>
  <c r="AZ58" i="14"/>
  <c r="I65" i="18"/>
  <c r="O65" i="18" s="1"/>
  <c r="E11" i="8"/>
  <c r="E12" i="8"/>
  <c r="E10" i="8"/>
  <c r="F10" i="8" s="1"/>
  <c r="J62" i="15"/>
  <c r="AC73" i="15"/>
  <c r="O111" i="18" l="1"/>
  <c r="U111" i="18"/>
  <c r="R111" i="18"/>
  <c r="L111" i="18"/>
  <c r="L107" i="18"/>
  <c r="U107" i="18"/>
  <c r="R107" i="18"/>
  <c r="U108" i="18"/>
  <c r="O39" i="18"/>
  <c r="U39" i="18"/>
  <c r="J107" i="18"/>
  <c r="R109" i="18"/>
  <c r="O10" i="18"/>
  <c r="U109" i="18"/>
  <c r="O9" i="18"/>
  <c r="L10" i="18"/>
  <c r="AZ46" i="14"/>
  <c r="L109" i="18"/>
  <c r="J41" i="18"/>
  <c r="R130" i="18"/>
  <c r="R41" i="18"/>
  <c r="O41" i="18"/>
  <c r="L108" i="18"/>
  <c r="J39" i="18"/>
  <c r="U41" i="18"/>
  <c r="R108" i="18"/>
  <c r="O130" i="18"/>
  <c r="J109" i="18"/>
  <c r="U130" i="18"/>
  <c r="L130" i="18"/>
  <c r="L39" i="18"/>
  <c r="AZ53" i="14"/>
  <c r="CI51" i="26"/>
  <c r="N121" i="18" s="1"/>
  <c r="BS48" i="26"/>
  <c r="N104" i="18" s="1"/>
  <c r="O108" i="18"/>
  <c r="CI56" i="26"/>
  <c r="N64" i="18" s="1"/>
  <c r="O110" i="18"/>
  <c r="CI55" i="26"/>
  <c r="N63" i="18" s="1"/>
  <c r="CI58" i="26"/>
  <c r="CI59" i="26"/>
  <c r="N58" i="18" s="1"/>
  <c r="AZ59" i="14"/>
  <c r="CI47" i="26"/>
  <c r="N124" i="18" s="1"/>
  <c r="L110" i="18"/>
  <c r="CI57" i="26"/>
  <c r="N56" i="18" s="1"/>
  <c r="BS58" i="26"/>
  <c r="N34" i="18" s="1"/>
  <c r="CI48" i="26"/>
  <c r="N125" i="18" s="1"/>
  <c r="CI50" i="26"/>
  <c r="N127" i="18" s="1"/>
  <c r="U40" i="18"/>
  <c r="R110" i="18"/>
  <c r="CI46" i="26"/>
  <c r="BS59" i="26"/>
  <c r="N35" i="18" s="1"/>
  <c r="CI54" i="26"/>
  <c r="J110" i="18"/>
  <c r="R40" i="18"/>
  <c r="O40" i="18"/>
  <c r="L40" i="18"/>
  <c r="AZ48" i="14"/>
  <c r="BS47" i="26"/>
  <c r="N103" i="18" s="1"/>
  <c r="BS49" i="26"/>
  <c r="R129" i="18"/>
  <c r="L129" i="18"/>
  <c r="J129" i="18"/>
  <c r="U129" i="18"/>
  <c r="F12" i="8"/>
  <c r="H10" i="18" s="1"/>
  <c r="F11" i="8"/>
  <c r="H9" i="18" s="1"/>
  <c r="L9" i="18"/>
  <c r="L65" i="18"/>
  <c r="R65" i="18"/>
  <c r="U65" i="18"/>
  <c r="J65" i="18"/>
  <c r="W16" i="12"/>
  <c r="BT46" i="26" l="1"/>
  <c r="CJ53" i="26"/>
  <c r="CL56" i="26"/>
  <c r="BT56" i="26"/>
  <c r="N62" i="18"/>
  <c r="N57" i="18"/>
  <c r="CJ46" i="26"/>
  <c r="N123" i="18"/>
  <c r="N105" i="18"/>
  <c r="K30" i="27"/>
  <c r="F19" i="27" s="1"/>
  <c r="K29" i="27"/>
  <c r="F13" i="27" s="1"/>
  <c r="K28" i="27"/>
  <c r="F9" i="27" s="1"/>
  <c r="K27" i="27"/>
  <c r="F3" i="27" s="1"/>
  <c r="F28" i="27"/>
  <c r="F29" i="27"/>
  <c r="J17" i="27" s="1"/>
  <c r="K17" i="27" s="1"/>
  <c r="F30" i="27"/>
  <c r="F27" i="27"/>
  <c r="J8" i="27" s="1"/>
  <c r="K8" i="27" s="1"/>
  <c r="AV35" i="27"/>
  <c r="AV34" i="27"/>
  <c r="AV33" i="27"/>
  <c r="AV32" i="27"/>
  <c r="AV31" i="27"/>
  <c r="AV30" i="27"/>
  <c r="AV29" i="27"/>
  <c r="AV28" i="27"/>
  <c r="AV27" i="27"/>
  <c r="AV26" i="27"/>
  <c r="AV25" i="27"/>
  <c r="AV24" i="27"/>
  <c r="AY21" i="27"/>
  <c r="AY20" i="27"/>
  <c r="AG25" i="27"/>
  <c r="AG26" i="27"/>
  <c r="AG27" i="27"/>
  <c r="AG28" i="27"/>
  <c r="AG29" i="27"/>
  <c r="AG30" i="27"/>
  <c r="AG31" i="27"/>
  <c r="AG32" i="27"/>
  <c r="AG33" i="27"/>
  <c r="AG34" i="27"/>
  <c r="AG35" i="27"/>
  <c r="AG24" i="27"/>
  <c r="BN21" i="27"/>
  <c r="AW28" i="27" l="1"/>
  <c r="AX28" i="27" s="1"/>
  <c r="T101" i="18" s="1"/>
  <c r="CL57" i="26"/>
  <c r="AW24" i="27"/>
  <c r="AX24" i="27" s="1"/>
  <c r="T97" i="18" s="1"/>
  <c r="AW25" i="27"/>
  <c r="AX25" i="27" s="1"/>
  <c r="T98" i="18" s="1"/>
  <c r="AW26" i="27"/>
  <c r="AX26" i="27" s="1"/>
  <c r="T99" i="18" s="1"/>
  <c r="J4" i="27"/>
  <c r="K4" i="27" s="1"/>
  <c r="J5" i="27"/>
  <c r="K5" i="27" s="1"/>
  <c r="J7" i="27"/>
  <c r="K7" i="27" s="1"/>
  <c r="J3" i="27"/>
  <c r="K3" i="27" s="1"/>
  <c r="AW30" i="27"/>
  <c r="AX30" i="27" s="1"/>
  <c r="T122" i="18" s="1"/>
  <c r="AW31" i="27"/>
  <c r="AX31" i="27" s="1"/>
  <c r="T56" i="18" s="1"/>
  <c r="F7" i="27"/>
  <c r="G7" i="27" s="1"/>
  <c r="AW32" i="27"/>
  <c r="AX32" i="27" s="1"/>
  <c r="T57" i="18" s="1"/>
  <c r="F8" i="27"/>
  <c r="G8" i="27" s="1"/>
  <c r="AW34" i="27"/>
  <c r="AX34" i="27" s="1"/>
  <c r="T59" i="18" s="1"/>
  <c r="F6" i="27"/>
  <c r="G6" i="27" s="1"/>
  <c r="AW35" i="27"/>
  <c r="AX35" i="27" s="1"/>
  <c r="T60" i="18" s="1"/>
  <c r="F5" i="27"/>
  <c r="G5" i="27" s="1"/>
  <c r="F4" i="27"/>
  <c r="G4" i="27" s="1"/>
  <c r="AW33" i="27"/>
  <c r="AX33" i="27" s="1"/>
  <c r="T58" i="18" s="1"/>
  <c r="F12" i="27"/>
  <c r="G12" i="27" s="1"/>
  <c r="AW29" i="27"/>
  <c r="AX29" i="27" s="1"/>
  <c r="F11" i="27"/>
  <c r="G11" i="27" s="1"/>
  <c r="F10" i="27"/>
  <c r="G10" i="27" s="1"/>
  <c r="J11" i="27"/>
  <c r="K11" i="27" s="1"/>
  <c r="F17" i="27"/>
  <c r="G17" i="27" s="1"/>
  <c r="F16" i="27"/>
  <c r="G16" i="27" s="1"/>
  <c r="F15" i="27"/>
  <c r="G15" i="27" s="1"/>
  <c r="F14" i="27"/>
  <c r="G14" i="27" s="1"/>
  <c r="F22" i="27"/>
  <c r="G22" i="27" s="1"/>
  <c r="F21" i="27"/>
  <c r="G21" i="27" s="1"/>
  <c r="J12" i="27"/>
  <c r="K12" i="27" s="1"/>
  <c r="AW27" i="27"/>
  <c r="AX27" i="27" s="1"/>
  <c r="T100" i="18" s="1"/>
  <c r="F20" i="27"/>
  <c r="G20" i="27" s="1"/>
  <c r="F18" i="27"/>
  <c r="G18" i="27" s="1"/>
  <c r="J21" i="27"/>
  <c r="K21" i="27" s="1"/>
  <c r="J13" i="27"/>
  <c r="K13" i="27" s="1"/>
  <c r="J14" i="27"/>
  <c r="K14" i="27" s="1"/>
  <c r="J15" i="27"/>
  <c r="K15" i="27" s="1"/>
  <c r="J16" i="27"/>
  <c r="K16" i="27" s="1"/>
  <c r="J6" i="27"/>
  <c r="K6" i="27" s="1"/>
  <c r="J18" i="27"/>
  <c r="K18" i="27" s="1"/>
  <c r="J22" i="27"/>
  <c r="K22" i="27" s="1"/>
  <c r="J9" i="27"/>
  <c r="K9" i="27" s="1"/>
  <c r="J19" i="27"/>
  <c r="K19" i="27" s="1"/>
  <c r="J10" i="27"/>
  <c r="K10" i="27" s="1"/>
  <c r="J20" i="27"/>
  <c r="K20" i="27" s="1"/>
  <c r="G19" i="27"/>
  <c r="G13" i="27"/>
  <c r="G9" i="27"/>
  <c r="G3" i="27"/>
  <c r="AH24" i="27"/>
  <c r="AI24" i="27" s="1"/>
  <c r="Q97" i="18" s="1"/>
  <c r="AH32" i="27"/>
  <c r="AI32" i="27" s="1"/>
  <c r="Q57" i="18" s="1"/>
  <c r="AH29" i="27"/>
  <c r="AI29" i="27" s="1"/>
  <c r="Q121" i="18" s="1"/>
  <c r="AH34" i="27"/>
  <c r="AI34" i="27" s="1"/>
  <c r="Q59" i="18" s="1"/>
  <c r="AH31" i="27"/>
  <c r="AI31" i="27" s="1"/>
  <c r="Q56" i="18" s="1"/>
  <c r="AH33" i="27"/>
  <c r="AI33" i="27" s="1"/>
  <c r="Q58" i="18" s="1"/>
  <c r="AH28" i="27"/>
  <c r="AI28" i="27" s="1"/>
  <c r="Q101" i="18" s="1"/>
  <c r="AH27" i="27"/>
  <c r="AI27" i="27" s="1"/>
  <c r="Q100" i="18" s="1"/>
  <c r="AH26" i="27"/>
  <c r="AI26" i="27" s="1"/>
  <c r="Q99" i="18" s="1"/>
  <c r="AH30" i="27"/>
  <c r="AI30" i="27" s="1"/>
  <c r="Q122" i="18" s="1"/>
  <c r="AH25" i="27"/>
  <c r="AI25" i="27" s="1"/>
  <c r="Q98" i="18" s="1"/>
  <c r="AH35" i="27"/>
  <c r="AI35" i="27" s="1"/>
  <c r="Q60" i="18" s="1"/>
  <c r="BK35" i="27"/>
  <c r="BL35" i="27" s="1"/>
  <c r="BM35" i="27" s="1"/>
  <c r="W124" i="18" s="1"/>
  <c r="BK25" i="27"/>
  <c r="BK26" i="27"/>
  <c r="BK27" i="27"/>
  <c r="BK28" i="27"/>
  <c r="BK29" i="27"/>
  <c r="BK30" i="27"/>
  <c r="BK31" i="27"/>
  <c r="BK32" i="27"/>
  <c r="BK33" i="27"/>
  <c r="BK34" i="27"/>
  <c r="BL34" i="27" s="1"/>
  <c r="BM34" i="27" s="1"/>
  <c r="BK37" i="27"/>
  <c r="BL37" i="27" s="1"/>
  <c r="BM37" i="27" s="1"/>
  <c r="W126" i="18" s="1"/>
  <c r="BK38" i="27"/>
  <c r="BL38" i="27" s="1"/>
  <c r="BM38" i="27" s="1"/>
  <c r="W127" i="18" s="1"/>
  <c r="BK39" i="27"/>
  <c r="BL39" i="27" s="1"/>
  <c r="BM39" i="27" s="1"/>
  <c r="BK40" i="27"/>
  <c r="BL40" i="27" s="1"/>
  <c r="BM40" i="27" s="1"/>
  <c r="W62" i="18" s="1"/>
  <c r="BK41" i="27"/>
  <c r="BL41" i="27" s="1"/>
  <c r="BM41" i="27" s="1"/>
  <c r="W63" i="18" s="1"/>
  <c r="BK42" i="27"/>
  <c r="BL42" i="27" s="1"/>
  <c r="BM42" i="27" s="1"/>
  <c r="W64" i="18" s="1"/>
  <c r="BK36" i="27"/>
  <c r="BL36" i="27" s="1"/>
  <c r="BM36" i="27" s="1"/>
  <c r="W125" i="18" s="1"/>
  <c r="BK24" i="27"/>
  <c r="BN20" i="27"/>
  <c r="AM55" i="27"/>
  <c r="AM57" i="27"/>
  <c r="AM50" i="27"/>
  <c r="AI57" i="27"/>
  <c r="AI55" i="27"/>
  <c r="AI50" i="27"/>
  <c r="AH28" i="15"/>
  <c r="AI28" i="15"/>
  <c r="AJ28" i="15"/>
  <c r="AK28" i="15"/>
  <c r="AL28" i="15"/>
  <c r="AM28" i="15"/>
  <c r="AR27" i="15"/>
  <c r="AS27" i="15"/>
  <c r="AR28" i="15"/>
  <c r="AS28" i="15"/>
  <c r="AR21" i="15"/>
  <c r="AS21" i="15"/>
  <c r="AR22" i="15"/>
  <c r="AS22" i="15"/>
  <c r="AI21" i="15"/>
  <c r="AJ21" i="15"/>
  <c r="AK21" i="15"/>
  <c r="AL21" i="15"/>
  <c r="AM21" i="15"/>
  <c r="AN21" i="15"/>
  <c r="AO21" i="15"/>
  <c r="AP21" i="15"/>
  <c r="AQ21" i="15"/>
  <c r="AI22" i="15"/>
  <c r="AJ22" i="15"/>
  <c r="AK22" i="15"/>
  <c r="AL22" i="15"/>
  <c r="AM22" i="15"/>
  <c r="AN22" i="15"/>
  <c r="AO22" i="15"/>
  <c r="AP22" i="15"/>
  <c r="AQ22" i="15"/>
  <c r="AI23" i="15"/>
  <c r="AI47" i="15" s="1"/>
  <c r="AJ23" i="15"/>
  <c r="AJ47" i="15" s="1"/>
  <c r="AK23" i="15"/>
  <c r="AK47" i="15" s="1"/>
  <c r="AL23" i="15"/>
  <c r="AL47" i="15" s="1"/>
  <c r="AM23" i="15"/>
  <c r="AM47" i="15" s="1"/>
  <c r="AN23" i="15"/>
  <c r="AN47" i="15" s="1"/>
  <c r="AO23" i="15"/>
  <c r="AO47" i="15" s="1"/>
  <c r="AP23" i="15"/>
  <c r="AP47" i="15" s="1"/>
  <c r="AQ23" i="15"/>
  <c r="AQ47" i="15" s="1"/>
  <c r="AR23" i="15"/>
  <c r="AR47" i="15" s="1"/>
  <c r="AS23" i="15"/>
  <c r="AS47" i="15" s="1"/>
  <c r="AI24" i="15"/>
  <c r="AI48" i="15" s="1"/>
  <c r="AJ24" i="15"/>
  <c r="AJ48" i="15" s="1"/>
  <c r="AK24" i="15"/>
  <c r="AK48" i="15" s="1"/>
  <c r="AL24" i="15"/>
  <c r="AL48" i="15" s="1"/>
  <c r="AM24" i="15"/>
  <c r="AM48" i="15" s="1"/>
  <c r="AN24" i="15"/>
  <c r="AN48" i="15" s="1"/>
  <c r="AO24" i="15"/>
  <c r="AO48" i="15" s="1"/>
  <c r="AP24" i="15"/>
  <c r="AP48" i="15" s="1"/>
  <c r="AQ24" i="15"/>
  <c r="AQ48" i="15" s="1"/>
  <c r="AR24" i="15"/>
  <c r="AR48" i="15" s="1"/>
  <c r="AS24" i="15"/>
  <c r="AS48" i="15" s="1"/>
  <c r="AI25" i="15"/>
  <c r="AI49" i="15" s="1"/>
  <c r="AJ25" i="15"/>
  <c r="AJ49" i="15" s="1"/>
  <c r="AK25" i="15"/>
  <c r="AK49" i="15" s="1"/>
  <c r="AL25" i="15"/>
  <c r="AL49" i="15" s="1"/>
  <c r="AM25" i="15"/>
  <c r="AM49" i="15" s="1"/>
  <c r="AN25" i="15"/>
  <c r="AN49" i="15" s="1"/>
  <c r="AO25" i="15"/>
  <c r="AO49" i="15" s="1"/>
  <c r="AP25" i="15"/>
  <c r="AP49" i="15" s="1"/>
  <c r="AQ25" i="15"/>
  <c r="AQ49" i="15" s="1"/>
  <c r="AR25" i="15"/>
  <c r="AR49" i="15" s="1"/>
  <c r="AS25" i="15"/>
  <c r="AS49" i="15" s="1"/>
  <c r="AI26" i="15"/>
  <c r="AI50" i="15" s="1"/>
  <c r="AJ26" i="15"/>
  <c r="AJ50" i="15" s="1"/>
  <c r="AK26" i="15"/>
  <c r="AK50" i="15" s="1"/>
  <c r="AL26" i="15"/>
  <c r="AL50" i="15" s="1"/>
  <c r="AM26" i="15"/>
  <c r="AM50" i="15" s="1"/>
  <c r="AN26" i="15"/>
  <c r="AN50" i="15" s="1"/>
  <c r="AO26" i="15"/>
  <c r="AO50" i="15" s="1"/>
  <c r="AP26" i="15"/>
  <c r="AP50" i="15" s="1"/>
  <c r="AQ26" i="15"/>
  <c r="AQ50" i="15" s="1"/>
  <c r="AR26" i="15"/>
  <c r="AR50" i="15" s="1"/>
  <c r="AS26" i="15"/>
  <c r="AS50" i="15" s="1"/>
  <c r="AI27" i="15"/>
  <c r="AI51" i="15" s="1"/>
  <c r="AJ27" i="15"/>
  <c r="AJ51" i="15" s="1"/>
  <c r="AK27" i="15"/>
  <c r="AK51" i="15" s="1"/>
  <c r="AL27" i="15"/>
  <c r="AL51" i="15" s="1"/>
  <c r="AM27" i="15"/>
  <c r="AM51" i="15" s="1"/>
  <c r="AN27" i="15"/>
  <c r="AN51" i="15" s="1"/>
  <c r="AO27" i="15"/>
  <c r="AO51" i="15" s="1"/>
  <c r="AP27" i="15"/>
  <c r="AP51" i="15" s="1"/>
  <c r="AQ27" i="15"/>
  <c r="AQ51" i="15" s="1"/>
  <c r="AN28" i="15"/>
  <c r="AN52" i="15" s="1"/>
  <c r="AO28" i="15"/>
  <c r="AO52" i="15" s="1"/>
  <c r="AP28" i="15"/>
  <c r="AP52" i="15" s="1"/>
  <c r="AQ28" i="15"/>
  <c r="AQ52" i="15" s="1"/>
  <c r="AH22" i="15"/>
  <c r="AH23" i="15"/>
  <c r="AH47" i="15" s="1"/>
  <c r="AH24" i="15"/>
  <c r="AH48" i="15" s="1"/>
  <c r="AH25" i="15"/>
  <c r="AH49" i="15" s="1"/>
  <c r="AH26" i="15"/>
  <c r="AH50" i="15" s="1"/>
  <c r="AH27" i="15"/>
  <c r="AH51" i="15" s="1"/>
  <c r="AH21" i="15"/>
  <c r="AM11" i="14"/>
  <c r="AK13" i="14" s="1"/>
  <c r="AK37" i="14" s="1"/>
  <c r="AJ61" i="15" l="1"/>
  <c r="K104" i="18" s="1"/>
  <c r="AJ74" i="15"/>
  <c r="K126" i="18" s="1"/>
  <c r="AG31" i="15"/>
  <c r="AG39" i="15"/>
  <c r="AG34" i="15"/>
  <c r="AY29" i="27"/>
  <c r="AY31" i="27"/>
  <c r="AG38" i="15"/>
  <c r="L9" i="27"/>
  <c r="T121" i="18"/>
  <c r="AJ58" i="15"/>
  <c r="K101" i="18" s="1"/>
  <c r="AG37" i="15"/>
  <c r="AG36" i="15"/>
  <c r="AJ66" i="15"/>
  <c r="K34" i="18" s="1"/>
  <c r="AJ81" i="15"/>
  <c r="K61" i="18" s="1"/>
  <c r="AJ72" i="15"/>
  <c r="K124" i="18" s="1"/>
  <c r="AJ84" i="15"/>
  <c r="K64" i="18" s="1"/>
  <c r="AJ13" i="14"/>
  <c r="AJ37" i="14" s="1"/>
  <c r="AJ80" i="15"/>
  <c r="K60" i="18" s="1"/>
  <c r="AN17" i="14"/>
  <c r="AN41" i="14" s="1"/>
  <c r="AG32" i="15"/>
  <c r="AO14" i="14"/>
  <c r="AO38" i="14" s="1"/>
  <c r="AJ75" i="15"/>
  <c r="K127" i="18" s="1"/>
  <c r="AM20" i="14"/>
  <c r="AM44" i="14" s="1"/>
  <c r="AI16" i="14"/>
  <c r="AS18" i="14"/>
  <c r="AJ79" i="15"/>
  <c r="K59" i="18" s="1"/>
  <c r="AJ69" i="15"/>
  <c r="K121" i="18" s="1"/>
  <c r="AJ67" i="15"/>
  <c r="K35" i="18" s="1"/>
  <c r="AJ76" i="15"/>
  <c r="K56" i="18" s="1"/>
  <c r="AJ65" i="15"/>
  <c r="K33" i="18" s="1"/>
  <c r="AJ73" i="15"/>
  <c r="K125" i="18" s="1"/>
  <c r="AJ59" i="15"/>
  <c r="K102" i="18" s="1"/>
  <c r="AJ83" i="15"/>
  <c r="K63" i="18" s="1"/>
  <c r="AJ82" i="15"/>
  <c r="K62" i="18" s="1"/>
  <c r="AJ64" i="15"/>
  <c r="K32" i="18" s="1"/>
  <c r="AJ70" i="15"/>
  <c r="K122" i="18" s="1"/>
  <c r="AJ68" i="15"/>
  <c r="K36" i="18" s="1"/>
  <c r="AJ77" i="15"/>
  <c r="K57" i="18" s="1"/>
  <c r="AL20" i="14"/>
  <c r="AL44" i="14" s="1"/>
  <c r="AK20" i="14"/>
  <c r="AK44" i="14" s="1"/>
  <c r="AM14" i="14"/>
  <c r="AM38" i="14" s="1"/>
  <c r="AJ57" i="15"/>
  <c r="K100" i="18" s="1"/>
  <c r="AM17" i="14"/>
  <c r="AM41" i="14" s="1"/>
  <c r="AK17" i="14"/>
  <c r="AK41" i="14" s="1"/>
  <c r="AJ56" i="15"/>
  <c r="K99" i="18" s="1"/>
  <c r="AJ71" i="15"/>
  <c r="K123" i="18" s="1"/>
  <c r="AH13" i="14"/>
  <c r="AR15" i="14"/>
  <c r="AO18" i="14"/>
  <c r="AO42" i="14" s="1"/>
  <c r="AJ55" i="15"/>
  <c r="K98" i="18" s="1"/>
  <c r="AS15" i="14"/>
  <c r="AI17" i="14"/>
  <c r="AJ62" i="15"/>
  <c r="AJ78" i="15"/>
  <c r="K58" i="18" s="1"/>
  <c r="AI13" i="14"/>
  <c r="AJ20" i="14"/>
  <c r="AJ44" i="14" s="1"/>
  <c r="AN15" i="14"/>
  <c r="AN39" i="14" s="1"/>
  <c r="AQ19" i="14"/>
  <c r="AQ43" i="14" s="1"/>
  <c r="AR16" i="14"/>
  <c r="AM15" i="14"/>
  <c r="AM39" i="14" s="1"/>
  <c r="AS13" i="14"/>
  <c r="AS37" i="14" s="1"/>
  <c r="AL15" i="14"/>
  <c r="AL39" i="14" s="1"/>
  <c r="AR18" i="14"/>
  <c r="AL17" i="14"/>
  <c r="AL41" i="14" s="1"/>
  <c r="AP18" i="14"/>
  <c r="AP42" i="14" s="1"/>
  <c r="AR19" i="14"/>
  <c r="AR43" i="14" s="1"/>
  <c r="AK15" i="14"/>
  <c r="AK39" i="14" s="1"/>
  <c r="AN14" i="14"/>
  <c r="AN38" i="14" s="1"/>
  <c r="AH19" i="14"/>
  <c r="AK14" i="14"/>
  <c r="AK38" i="14" s="1"/>
  <c r="AJ47" i="14" s="1"/>
  <c r="I98" i="18" s="1"/>
  <c r="AN18" i="14"/>
  <c r="AN42" i="14" s="1"/>
  <c r="AS16" i="14"/>
  <c r="AJ18" i="14"/>
  <c r="AJ42" i="14" s="1"/>
  <c r="AN19" i="14"/>
  <c r="AN43" i="14" s="1"/>
  <c r="AO16" i="14"/>
  <c r="AO40" i="14" s="1"/>
  <c r="AJ15" i="14"/>
  <c r="AJ39" i="14" s="1"/>
  <c r="AP13" i="14"/>
  <c r="AP37" i="14" s="1"/>
  <c r="AL14" i="14"/>
  <c r="AL38" i="14" s="1"/>
  <c r="AI20" i="14"/>
  <c r="AP19" i="14"/>
  <c r="AP43" i="14" s="1"/>
  <c r="AO19" i="14"/>
  <c r="AO43" i="14" s="1"/>
  <c r="AS20" i="14"/>
  <c r="AI18" i="14"/>
  <c r="AR20" i="14"/>
  <c r="AR44" i="14" s="1"/>
  <c r="AM19" i="14"/>
  <c r="AM43" i="14" s="1"/>
  <c r="AS17" i="14"/>
  <c r="AN16" i="14"/>
  <c r="AN40" i="14" s="1"/>
  <c r="AI15" i="14"/>
  <c r="AO13" i="14"/>
  <c r="AO37" i="14" s="1"/>
  <c r="AP15" i="14"/>
  <c r="AH17" i="14"/>
  <c r="AI14" i="14"/>
  <c r="AH14" i="14"/>
  <c r="AP16" i="14"/>
  <c r="AQ13" i="14"/>
  <c r="AQ37" i="14" s="1"/>
  <c r="AQ20" i="14"/>
  <c r="AQ44" i="14" s="1"/>
  <c r="AL19" i="14"/>
  <c r="AL43" i="14" s="1"/>
  <c r="AR17" i="14"/>
  <c r="AM16" i="14"/>
  <c r="AM40" i="14" s="1"/>
  <c r="AS14" i="14"/>
  <c r="AS38" i="14" s="1"/>
  <c r="AN13" i="14"/>
  <c r="AN37" i="14" s="1"/>
  <c r="AJ60" i="15"/>
  <c r="K103" i="18" s="1"/>
  <c r="AQ18" i="14"/>
  <c r="AH20" i="14"/>
  <c r="AS19" i="14"/>
  <c r="AJ14" i="14"/>
  <c r="AJ38" i="14" s="1"/>
  <c r="AH15" i="14"/>
  <c r="AQ17" i="14"/>
  <c r="AM13" i="14"/>
  <c r="AM37" i="14" s="1"/>
  <c r="AJ54" i="15"/>
  <c r="K97" i="18" s="1"/>
  <c r="AJ63" i="15"/>
  <c r="K106" i="18" s="1"/>
  <c r="AQ15" i="14"/>
  <c r="AJ17" i="14"/>
  <c r="AJ41" i="14" s="1"/>
  <c r="AH18" i="14"/>
  <c r="AM18" i="14"/>
  <c r="AM42" i="14" s="1"/>
  <c r="AH16" i="14"/>
  <c r="AK18" i="14"/>
  <c r="AK42" i="14" s="1"/>
  <c r="AP20" i="14"/>
  <c r="AP44" i="14" s="1"/>
  <c r="AL16" i="14"/>
  <c r="AL40" i="14" s="1"/>
  <c r="AO20" i="14"/>
  <c r="AO44" i="14" s="1"/>
  <c r="AJ19" i="14"/>
  <c r="AJ43" i="14" s="1"/>
  <c r="AP17" i="14"/>
  <c r="AP41" i="14" s="1"/>
  <c r="AK16" i="14"/>
  <c r="AK40" i="14" s="1"/>
  <c r="AQ14" i="14"/>
  <c r="AQ38" i="14" s="1"/>
  <c r="AL13" i="14"/>
  <c r="AL37" i="14" s="1"/>
  <c r="AY24" i="27"/>
  <c r="AO15" i="14"/>
  <c r="AO39" i="14" s="1"/>
  <c r="AL18" i="14"/>
  <c r="AL42" i="14" s="1"/>
  <c r="AQ16" i="14"/>
  <c r="AR13" i="14"/>
  <c r="AR37" i="14" s="1"/>
  <c r="AK19" i="14"/>
  <c r="AK43" i="14" s="1"/>
  <c r="AR14" i="14"/>
  <c r="AR38" i="14" s="1"/>
  <c r="AN20" i="14"/>
  <c r="AN44" i="14" s="1"/>
  <c r="AI19" i="14"/>
  <c r="AO17" i="14"/>
  <c r="AO41" i="14" s="1"/>
  <c r="AJ16" i="14"/>
  <c r="AJ40" i="14" s="1"/>
  <c r="AP14" i="14"/>
  <c r="AP38" i="14" s="1"/>
  <c r="AY10" i="17"/>
  <c r="AX10" i="17"/>
  <c r="AW10" i="17"/>
  <c r="AO7" i="17"/>
  <c r="AP7" i="17"/>
  <c r="AN7" i="17"/>
  <c r="AX7" i="17"/>
  <c r="AW7" i="17"/>
  <c r="AY7" i="17"/>
  <c r="AP10" i="17"/>
  <c r="AO10" i="17"/>
  <c r="AN10" i="17"/>
  <c r="BL32" i="27"/>
  <c r="BM32" i="27" s="1"/>
  <c r="W35" i="18" s="1"/>
  <c r="AJ31" i="27"/>
  <c r="AJ24" i="27"/>
  <c r="AJ29" i="27"/>
  <c r="BL28" i="27"/>
  <c r="BM28" i="27" s="1"/>
  <c r="W106" i="18" s="1"/>
  <c r="BL24" i="27"/>
  <c r="BM24" i="27" s="1"/>
  <c r="W102" i="18" s="1"/>
  <c r="BL29" i="27"/>
  <c r="BM29" i="27" s="1"/>
  <c r="W32" i="18" s="1"/>
  <c r="W123" i="18"/>
  <c r="BN34" i="27"/>
  <c r="BN39" i="27"/>
  <c r="W61" i="18"/>
  <c r="BL27" i="27"/>
  <c r="BM27" i="27" s="1"/>
  <c r="W105" i="18" s="1"/>
  <c r="BL25" i="27"/>
  <c r="BM25" i="27" s="1"/>
  <c r="W103" i="18" s="1"/>
  <c r="BL26" i="27"/>
  <c r="BM26" i="27" s="1"/>
  <c r="W104" i="18" s="1"/>
  <c r="BL33" i="27"/>
  <c r="BM33" i="27" s="1"/>
  <c r="W36" i="18" s="1"/>
  <c r="BL31" i="27"/>
  <c r="BM31" i="27" s="1"/>
  <c r="BL30" i="27"/>
  <c r="BM30" i="27" s="1"/>
  <c r="W33" i="18" s="1"/>
  <c r="AG25" i="14" l="1"/>
  <c r="AJ46" i="14"/>
  <c r="I97" i="18" s="1"/>
  <c r="AJ65" i="14"/>
  <c r="I125" i="18" s="1"/>
  <c r="X125" i="18" s="1"/>
  <c r="AG27" i="14"/>
  <c r="AJ48" i="14"/>
  <c r="I99" i="18" s="1"/>
  <c r="O99" i="18" s="1"/>
  <c r="AJ50" i="14"/>
  <c r="I101" i="18" s="1"/>
  <c r="U101" i="18" s="1"/>
  <c r="AJ51" i="14"/>
  <c r="I102" i="18" s="1"/>
  <c r="O102" i="18" s="1"/>
  <c r="AJ68" i="14"/>
  <c r="I56" i="18" s="1"/>
  <c r="O56" i="18" s="1"/>
  <c r="AJ71" i="14"/>
  <c r="I59" i="18" s="1"/>
  <c r="R59" i="18" s="1"/>
  <c r="W151" i="18"/>
  <c r="AJ60" i="14"/>
  <c r="I36" i="18" s="1"/>
  <c r="O36" i="18" s="1"/>
  <c r="AJ57" i="14"/>
  <c r="I33" i="18" s="1"/>
  <c r="O33" i="18" s="1"/>
  <c r="AJ61" i="14"/>
  <c r="I121" i="18" s="1"/>
  <c r="AJ70" i="14"/>
  <c r="I58" i="18" s="1"/>
  <c r="L58" i="18" s="1"/>
  <c r="AJ73" i="14"/>
  <c r="I61" i="18" s="1"/>
  <c r="O61" i="18" s="1"/>
  <c r="AJ69" i="14"/>
  <c r="I57" i="18" s="1"/>
  <c r="L57" i="18" s="1"/>
  <c r="AJ74" i="14"/>
  <c r="I62" i="18" s="1"/>
  <c r="O62" i="18" s="1"/>
  <c r="AG24" i="14"/>
  <c r="AJ58" i="14"/>
  <c r="I34" i="18" s="1"/>
  <c r="O34" i="18" s="1"/>
  <c r="AJ49" i="14"/>
  <c r="I100" i="18" s="1"/>
  <c r="O100" i="18" s="1"/>
  <c r="W147" i="18"/>
  <c r="AG26" i="14"/>
  <c r="O98" i="18"/>
  <c r="U98" i="18"/>
  <c r="R98" i="18"/>
  <c r="L98" i="18"/>
  <c r="AJ54" i="14"/>
  <c r="I105" i="18" s="1"/>
  <c r="O105" i="18" s="1"/>
  <c r="AK64" i="15"/>
  <c r="AJ63" i="14"/>
  <c r="I123" i="18" s="1"/>
  <c r="O123" i="18" s="1"/>
  <c r="AL59" i="15"/>
  <c r="AJ53" i="14"/>
  <c r="I104" i="18" s="1"/>
  <c r="AK54" i="15"/>
  <c r="AJ76" i="14"/>
  <c r="I64" i="18" s="1"/>
  <c r="AJ52" i="14"/>
  <c r="I103" i="18" s="1"/>
  <c r="O103" i="18" s="1"/>
  <c r="AJ55" i="14"/>
  <c r="I106" i="18" s="1"/>
  <c r="X106" i="18" s="1"/>
  <c r="AJ56" i="14"/>
  <c r="AJ59" i="14"/>
  <c r="I35" i="18" s="1"/>
  <c r="O35" i="18" s="1"/>
  <c r="AJ62" i="14"/>
  <c r="I122" i="18" s="1"/>
  <c r="L122" i="18" s="1"/>
  <c r="AK69" i="15"/>
  <c r="AJ67" i="14"/>
  <c r="I127" i="18" s="1"/>
  <c r="AG28" i="14"/>
  <c r="AJ64" i="14"/>
  <c r="I124" i="18" s="1"/>
  <c r="AJ75" i="14"/>
  <c r="I63" i="18" s="1"/>
  <c r="AJ66" i="14"/>
  <c r="I126" i="18" s="1"/>
  <c r="AK76" i="15"/>
  <c r="AJ72" i="14"/>
  <c r="I60" i="18" s="1"/>
  <c r="BH10" i="17"/>
  <c r="BG10" i="17"/>
  <c r="BF10" i="17"/>
  <c r="BG11" i="17"/>
  <c r="BF11" i="17"/>
  <c r="BH11" i="17"/>
  <c r="BG7" i="17"/>
  <c r="BH7" i="17"/>
  <c r="BF7" i="17"/>
  <c r="BN24" i="27"/>
  <c r="BN29" i="27"/>
  <c r="W34" i="18"/>
  <c r="BH6" i="17" s="1"/>
  <c r="BE11" i="26"/>
  <c r="BI15" i="26" s="1"/>
  <c r="BI39" i="26" s="1"/>
  <c r="AS38" i="26"/>
  <c r="AT38" i="26"/>
  <c r="AS39" i="26"/>
  <c r="AT39" i="26"/>
  <c r="AO11" i="26"/>
  <c r="AP13" i="26" s="1"/>
  <c r="X102" i="18" l="1"/>
  <c r="L101" i="18"/>
  <c r="R99" i="18"/>
  <c r="L125" i="18"/>
  <c r="O59" i="18"/>
  <c r="O125" i="18"/>
  <c r="U59" i="18"/>
  <c r="L59" i="18"/>
  <c r="L33" i="18"/>
  <c r="U99" i="18"/>
  <c r="L99" i="18"/>
  <c r="O101" i="18"/>
  <c r="L56" i="18"/>
  <c r="R101" i="18"/>
  <c r="R100" i="18"/>
  <c r="AU14" i="26"/>
  <c r="AN16" i="26"/>
  <c r="AN40" i="26" s="1"/>
  <c r="X33" i="18"/>
  <c r="U56" i="18"/>
  <c r="AM16" i="26"/>
  <c r="AM40" i="26" s="1"/>
  <c r="AK15" i="26"/>
  <c r="AK39" i="26" s="1"/>
  <c r="R56" i="18"/>
  <c r="L102" i="18"/>
  <c r="X61" i="18"/>
  <c r="BC16" i="26"/>
  <c r="BC40" i="26" s="1"/>
  <c r="BB16" i="26"/>
  <c r="BB40" i="26" s="1"/>
  <c r="AL60" i="15"/>
  <c r="AO19" i="26"/>
  <c r="AO43" i="26" s="1"/>
  <c r="X62" i="18"/>
  <c r="U57" i="18"/>
  <c r="R57" i="18"/>
  <c r="AO20" i="26"/>
  <c r="X36" i="18"/>
  <c r="L36" i="18"/>
  <c r="AQ19" i="26"/>
  <c r="L62" i="18"/>
  <c r="AR14" i="26"/>
  <c r="AR38" i="26" s="1"/>
  <c r="AP19" i="26"/>
  <c r="AP43" i="26" s="1"/>
  <c r="O57" i="18"/>
  <c r="L61" i="18"/>
  <c r="W143" i="18"/>
  <c r="AN19" i="26"/>
  <c r="AN43" i="26" s="1"/>
  <c r="AM19" i="26"/>
  <c r="AM43" i="26" s="1"/>
  <c r="BF17" i="26"/>
  <c r="BF41" i="26" s="1"/>
  <c r="AO16" i="26"/>
  <c r="AO40" i="26" s="1"/>
  <c r="BD16" i="26"/>
  <c r="BD40" i="26" s="1"/>
  <c r="AK61" i="14"/>
  <c r="BF14" i="26"/>
  <c r="BF38" i="26" s="1"/>
  <c r="AL19" i="26"/>
  <c r="AL43" i="26" s="1"/>
  <c r="AL18" i="26"/>
  <c r="AL42" i="26" s="1"/>
  <c r="BH20" i="26"/>
  <c r="AQ14" i="26"/>
  <c r="AQ38" i="26" s="1"/>
  <c r="BG20" i="26"/>
  <c r="BC14" i="26"/>
  <c r="BC38" i="26" s="1"/>
  <c r="BA13" i="26"/>
  <c r="AN13" i="26"/>
  <c r="BE14" i="26"/>
  <c r="BE38" i="26" s="1"/>
  <c r="AO14" i="26"/>
  <c r="AO38" i="26" s="1"/>
  <c r="AO13" i="26"/>
  <c r="AT17" i="26"/>
  <c r="AT41" i="26" s="1"/>
  <c r="AU20" i="26"/>
  <c r="BA19" i="26"/>
  <c r="BA43" i="26" s="1"/>
  <c r="BK18" i="26"/>
  <c r="AK68" i="14"/>
  <c r="AJ14" i="26"/>
  <c r="BB19" i="26"/>
  <c r="BB43" i="26" s="1"/>
  <c r="AS17" i="26"/>
  <c r="AS41" i="26" s="1"/>
  <c r="U100" i="18"/>
  <c r="AT20" i="26"/>
  <c r="AR16" i="26"/>
  <c r="AR40" i="26" s="1"/>
  <c r="BI17" i="26"/>
  <c r="AK18" i="26"/>
  <c r="AK42" i="26" s="1"/>
  <c r="BC19" i="26"/>
  <c r="BC43" i="26" s="1"/>
  <c r="AM13" i="26"/>
  <c r="AL13" i="26"/>
  <c r="AR20" i="26"/>
  <c r="AQ16" i="26"/>
  <c r="AQ40" i="26" s="1"/>
  <c r="BH17" i="26"/>
  <c r="BH41" i="26" s="1"/>
  <c r="L34" i="18"/>
  <c r="BA16" i="26"/>
  <c r="BA40" i="26" s="1"/>
  <c r="AP14" i="26"/>
  <c r="AP38" i="26" s="1"/>
  <c r="BF20" i="26"/>
  <c r="BE20" i="26"/>
  <c r="AU17" i="26"/>
  <c r="L100" i="18"/>
  <c r="AR17" i="26"/>
  <c r="AR41" i="26" s="1"/>
  <c r="AS20" i="26"/>
  <c r="AK13" i="26"/>
  <c r="AQ20" i="26"/>
  <c r="AP16" i="26"/>
  <c r="AP40" i="26" s="1"/>
  <c r="BG17" i="26"/>
  <c r="BG41" i="26" s="1"/>
  <c r="W150" i="18"/>
  <c r="X123" i="18"/>
  <c r="X103" i="18"/>
  <c r="X35" i="18"/>
  <c r="L123" i="18"/>
  <c r="L35" i="18"/>
  <c r="O126" i="18"/>
  <c r="X126" i="18"/>
  <c r="L126" i="18"/>
  <c r="BD14" i="26"/>
  <c r="X105" i="18"/>
  <c r="BD20" i="26"/>
  <c r="BJ18" i="26"/>
  <c r="BE17" i="26"/>
  <c r="BE41" i="26" s="1"/>
  <c r="BK15" i="26"/>
  <c r="BB14" i="26"/>
  <c r="O121" i="18"/>
  <c r="U121" i="18"/>
  <c r="R121" i="18"/>
  <c r="L121" i="18"/>
  <c r="O64" i="18"/>
  <c r="L64" i="18"/>
  <c r="X64" i="18"/>
  <c r="AZ13" i="26"/>
  <c r="BC20" i="26"/>
  <c r="BI18" i="26"/>
  <c r="BI42" i="26" s="1"/>
  <c r="BD17" i="26"/>
  <c r="BD41" i="26" s="1"/>
  <c r="BB49" i="26" s="1"/>
  <c r="BH15" i="26"/>
  <c r="BH39" i="26" s="1"/>
  <c r="BA14" i="26"/>
  <c r="O63" i="18"/>
  <c r="X63" i="18"/>
  <c r="L63" i="18"/>
  <c r="AK19" i="26"/>
  <c r="AK43" i="26" s="1"/>
  <c r="AQ17" i="26"/>
  <c r="AQ41" i="26" s="1"/>
  <c r="AL16" i="26"/>
  <c r="AL40" i="26" s="1"/>
  <c r="AN14" i="26"/>
  <c r="AZ20" i="26"/>
  <c r="BB20" i="26"/>
  <c r="BH18" i="26"/>
  <c r="BH42" i="26" s="1"/>
  <c r="BC17" i="26"/>
  <c r="BC41" i="26" s="1"/>
  <c r="BG15" i="26"/>
  <c r="BG39" i="26" s="1"/>
  <c r="BK13" i="26"/>
  <c r="O104" i="18"/>
  <c r="L104" i="18"/>
  <c r="O97" i="18"/>
  <c r="U97" i="18"/>
  <c r="R97" i="18"/>
  <c r="L97" i="18"/>
  <c r="AZ19" i="26"/>
  <c r="BA20" i="26"/>
  <c r="BG18" i="26"/>
  <c r="BG42" i="26" s="1"/>
  <c r="BB17" i="26"/>
  <c r="BB41" i="26" s="1"/>
  <c r="BF15" i="26"/>
  <c r="BF39" i="26" s="1"/>
  <c r="BJ13" i="26"/>
  <c r="AK46" i="14"/>
  <c r="AN20" i="26"/>
  <c r="AT18" i="26"/>
  <c r="AO17" i="26"/>
  <c r="AO41" i="26" s="1"/>
  <c r="AU15" i="26"/>
  <c r="AL14" i="26"/>
  <c r="AZ18" i="26"/>
  <c r="BK19" i="26"/>
  <c r="BF18" i="26"/>
  <c r="BF42" i="26" s="1"/>
  <c r="BA17" i="26"/>
  <c r="BA41" i="26" s="1"/>
  <c r="BE15" i="26"/>
  <c r="BE39" i="26" s="1"/>
  <c r="BI13" i="26"/>
  <c r="O124" i="18"/>
  <c r="X124" i="18"/>
  <c r="L124" i="18"/>
  <c r="L103" i="18"/>
  <c r="BK16" i="26"/>
  <c r="O106" i="18"/>
  <c r="L106" i="18"/>
  <c r="AM14" i="26"/>
  <c r="AM20" i="26"/>
  <c r="BE18" i="26"/>
  <c r="BE42" i="26" s="1"/>
  <c r="AJ20" i="26"/>
  <c r="AL20" i="26"/>
  <c r="AR18" i="26"/>
  <c r="AM17" i="26"/>
  <c r="AM41" i="26" s="1"/>
  <c r="AQ15" i="26"/>
  <c r="AQ39" i="26" s="1"/>
  <c r="AU13" i="26"/>
  <c r="AZ16" i="26"/>
  <c r="BI19" i="26"/>
  <c r="BI43" i="26" s="1"/>
  <c r="BD18" i="26"/>
  <c r="BD42" i="26" s="1"/>
  <c r="BJ16" i="26"/>
  <c r="BC15" i="26"/>
  <c r="BC39" i="26" s="1"/>
  <c r="BG13" i="26"/>
  <c r="O127" i="18"/>
  <c r="L127" i="18"/>
  <c r="X127" i="18"/>
  <c r="AP17" i="26"/>
  <c r="AP41" i="26" s="1"/>
  <c r="AR15" i="26"/>
  <c r="AR39" i="26" s="1"/>
  <c r="AJ19" i="26"/>
  <c r="AK20" i="26"/>
  <c r="AQ18" i="26"/>
  <c r="AL17" i="26"/>
  <c r="AL41" i="26" s="1"/>
  <c r="AP15" i="26"/>
  <c r="AP39" i="26" s="1"/>
  <c r="AT13" i="26"/>
  <c r="AZ15" i="26"/>
  <c r="BH19" i="26"/>
  <c r="BH43" i="26" s="1"/>
  <c r="BC18" i="26"/>
  <c r="BC42" i="26" s="1"/>
  <c r="BB56" i="26" s="1"/>
  <c r="BI16" i="26"/>
  <c r="BB15" i="26"/>
  <c r="BB39" i="26" s="1"/>
  <c r="BF13" i="26"/>
  <c r="X104" i="18"/>
  <c r="AK16" i="26"/>
  <c r="AK40" i="26" s="1"/>
  <c r="AK14" i="26"/>
  <c r="AZ17" i="26"/>
  <c r="AP18" i="26"/>
  <c r="AP42" i="26" s="1"/>
  <c r="BG19" i="26"/>
  <c r="BG43" i="26" s="1"/>
  <c r="BH16" i="26"/>
  <c r="BH40" i="26" s="1"/>
  <c r="BE13" i="26"/>
  <c r="O122" i="18"/>
  <c r="U122" i="18"/>
  <c r="R122" i="18"/>
  <c r="AP20" i="26"/>
  <c r="AS18" i="26"/>
  <c r="BD15" i="26"/>
  <c r="BD39" i="26" s="1"/>
  <c r="AU19" i="26"/>
  <c r="AO15" i="26"/>
  <c r="AO39" i="26" s="1"/>
  <c r="AZ14" i="26"/>
  <c r="AO18" i="26"/>
  <c r="AO42" i="26" s="1"/>
  <c r="AN15" i="26"/>
  <c r="AN39" i="26" s="1"/>
  <c r="AR13" i="26"/>
  <c r="BK20" i="26"/>
  <c r="BF19" i="26"/>
  <c r="BF43" i="26" s="1"/>
  <c r="BA18" i="26"/>
  <c r="BA42" i="26" s="1"/>
  <c r="BG16" i="26"/>
  <c r="BG40" i="26" s="1"/>
  <c r="BK14" i="26"/>
  <c r="BD13" i="26"/>
  <c r="AU18" i="26"/>
  <c r="AJ13" i="26"/>
  <c r="BJ19" i="26"/>
  <c r="AJ18" i="26"/>
  <c r="AS13" i="26"/>
  <c r="AT19" i="26"/>
  <c r="AJ16" i="26"/>
  <c r="AN18" i="26"/>
  <c r="AN42" i="26" s="1"/>
  <c r="AT16" i="26"/>
  <c r="AT40" i="26" s="1"/>
  <c r="AM15" i="26"/>
  <c r="AM39" i="26" s="1"/>
  <c r="AQ13" i="26"/>
  <c r="BJ20" i="26"/>
  <c r="BE19" i="26"/>
  <c r="BE43" i="26" s="1"/>
  <c r="BK17" i="26"/>
  <c r="BF16" i="26"/>
  <c r="BF40" i="26" s="1"/>
  <c r="BH14" i="26"/>
  <c r="BC13" i="26"/>
  <c r="U60" i="18"/>
  <c r="O60" i="18"/>
  <c r="L60" i="18"/>
  <c r="R60" i="18"/>
  <c r="AK56" i="14"/>
  <c r="I32" i="18"/>
  <c r="AN17" i="26"/>
  <c r="AN41" i="26" s="1"/>
  <c r="BH13" i="26"/>
  <c r="AK17" i="26"/>
  <c r="AK41" i="26" s="1"/>
  <c r="BB18" i="26"/>
  <c r="BB42" i="26" s="1"/>
  <c r="BA15" i="26"/>
  <c r="BA39" i="26" s="1"/>
  <c r="AJ17" i="26"/>
  <c r="AU16" i="26"/>
  <c r="AS19" i="26"/>
  <c r="AJ15" i="26"/>
  <c r="AR19" i="26"/>
  <c r="AM18" i="26"/>
  <c r="AM42" i="26" s="1"/>
  <c r="AS16" i="26"/>
  <c r="AS40" i="26" s="1"/>
  <c r="AL15" i="26"/>
  <c r="AL39" i="26" s="1"/>
  <c r="BI20" i="26"/>
  <c r="BD19" i="26"/>
  <c r="BD43" i="26" s="1"/>
  <c r="BJ17" i="26"/>
  <c r="BE16" i="26"/>
  <c r="BE40" i="26" s="1"/>
  <c r="BG14" i="26"/>
  <c r="BB13" i="26"/>
  <c r="O58" i="18"/>
  <c r="U58" i="18"/>
  <c r="R58" i="18"/>
  <c r="BF6" i="17"/>
  <c r="BG6" i="17"/>
  <c r="X34" i="18"/>
  <c r="M91" i="13"/>
  <c r="F58" i="18" s="1"/>
  <c r="M92" i="13"/>
  <c r="F59" i="18" s="1"/>
  <c r="M93" i="13"/>
  <c r="F60" i="18" s="1"/>
  <c r="M94" i="13"/>
  <c r="F61" i="18" s="1"/>
  <c r="M95" i="13"/>
  <c r="F62" i="18" s="1"/>
  <c r="M96" i="13"/>
  <c r="F63" i="18" s="1"/>
  <c r="M97" i="13"/>
  <c r="F64" i="18" s="1"/>
  <c r="M90" i="13"/>
  <c r="F57" i="18" s="1"/>
  <c r="M89" i="13"/>
  <c r="F56" i="18" s="1"/>
  <c r="I96" i="13"/>
  <c r="E63" i="18" s="1"/>
  <c r="I97" i="13"/>
  <c r="E64" i="18" s="1"/>
  <c r="I95" i="13"/>
  <c r="E62" i="18" s="1"/>
  <c r="I94" i="13"/>
  <c r="E61" i="18" s="1"/>
  <c r="I93" i="13"/>
  <c r="E60" i="18" s="1"/>
  <c r="I92" i="13"/>
  <c r="E59" i="18" s="1"/>
  <c r="I91" i="13"/>
  <c r="E58" i="18" s="1"/>
  <c r="I90" i="13"/>
  <c r="E57" i="18" s="1"/>
  <c r="I89" i="13"/>
  <c r="E56" i="18" s="1"/>
  <c r="M83" i="13"/>
  <c r="F122" i="18" s="1"/>
  <c r="M84" i="13"/>
  <c r="F123" i="18" s="1"/>
  <c r="M85" i="13"/>
  <c r="F124" i="18" s="1"/>
  <c r="M86" i="13"/>
  <c r="F125" i="18" s="1"/>
  <c r="M87" i="13"/>
  <c r="F126" i="18" s="1"/>
  <c r="M88" i="13"/>
  <c r="F127" i="18" s="1"/>
  <c r="M82" i="13"/>
  <c r="F121" i="18" s="1"/>
  <c r="I84" i="13"/>
  <c r="E123" i="18" s="1"/>
  <c r="I85" i="13"/>
  <c r="E124" i="18" s="1"/>
  <c r="I86" i="13"/>
  <c r="E125" i="18" s="1"/>
  <c r="I87" i="13"/>
  <c r="E126" i="18" s="1"/>
  <c r="I88" i="13"/>
  <c r="E127" i="18" s="1"/>
  <c r="I83" i="13"/>
  <c r="E122" i="18" s="1"/>
  <c r="I82" i="13"/>
  <c r="E121" i="18" s="1"/>
  <c r="M81" i="13"/>
  <c r="F36" i="18" s="1"/>
  <c r="M80" i="13"/>
  <c r="F35" i="18" s="1"/>
  <c r="M79" i="13"/>
  <c r="F34" i="18" s="1"/>
  <c r="M78" i="13"/>
  <c r="F33" i="18" s="1"/>
  <c r="M77" i="13"/>
  <c r="F32" i="18" s="1"/>
  <c r="I78" i="13"/>
  <c r="E33" i="18" s="1"/>
  <c r="I79" i="13"/>
  <c r="E34" i="18" s="1"/>
  <c r="I80" i="13"/>
  <c r="E35" i="18" s="1"/>
  <c r="I81" i="13"/>
  <c r="E36" i="18" s="1"/>
  <c r="I77" i="13"/>
  <c r="E32" i="18" s="1"/>
  <c r="M68" i="13"/>
  <c r="F98" i="18" s="1"/>
  <c r="M69" i="13"/>
  <c r="F99" i="18" s="1"/>
  <c r="M70" i="13"/>
  <c r="F100" i="18" s="1"/>
  <c r="M71" i="13"/>
  <c r="F101" i="18" s="1"/>
  <c r="M72" i="13"/>
  <c r="F102" i="18" s="1"/>
  <c r="M73" i="13"/>
  <c r="F103" i="18" s="1"/>
  <c r="M74" i="13"/>
  <c r="F104" i="18" s="1"/>
  <c r="M75" i="13"/>
  <c r="F105" i="18" s="1"/>
  <c r="M76" i="13"/>
  <c r="F106" i="18" s="1"/>
  <c r="J67" i="13"/>
  <c r="M67" i="13" s="1"/>
  <c r="F97" i="18" s="1"/>
  <c r="I69" i="13"/>
  <c r="E99" i="18" s="1"/>
  <c r="I70" i="13"/>
  <c r="E100" i="18" s="1"/>
  <c r="I71" i="13"/>
  <c r="E101" i="18" s="1"/>
  <c r="I72" i="13"/>
  <c r="E102" i="18" s="1"/>
  <c r="I73" i="13"/>
  <c r="E103" i="18" s="1"/>
  <c r="I74" i="13"/>
  <c r="E104" i="18" s="1"/>
  <c r="I75" i="13"/>
  <c r="E105" i="18" s="1"/>
  <c r="I76" i="13"/>
  <c r="E106" i="18" s="1"/>
  <c r="I68" i="13"/>
  <c r="E98" i="18" s="1"/>
  <c r="I67" i="13"/>
  <c r="E97" i="18" s="1"/>
  <c r="BB46" i="26" l="1"/>
  <c r="BC46" i="26" s="1"/>
  <c r="N82" i="18" s="1"/>
  <c r="AL55" i="26"/>
  <c r="AM55" i="26" s="1"/>
  <c r="N29" i="18" s="1"/>
  <c r="BB47" i="26"/>
  <c r="BC47" i="26" s="1"/>
  <c r="N83" i="18" s="1"/>
  <c r="BB48" i="26"/>
  <c r="BC48" i="26" s="1"/>
  <c r="N84" i="18" s="1"/>
  <c r="AL54" i="26"/>
  <c r="AM54" i="26" s="1"/>
  <c r="N28" i="18" s="1"/>
  <c r="AL49" i="26"/>
  <c r="AM49" i="26" s="1"/>
  <c r="N14" i="18" s="1"/>
  <c r="Z122" i="18"/>
  <c r="Z34" i="18"/>
  <c r="Z59" i="18"/>
  <c r="BB51" i="26"/>
  <c r="BC51" i="26" s="1"/>
  <c r="N87" i="18" s="1"/>
  <c r="Z121" i="18"/>
  <c r="AL48" i="26"/>
  <c r="AM48" i="26" s="1"/>
  <c r="N13" i="18" s="1"/>
  <c r="AL57" i="26"/>
  <c r="AM57" i="26" s="1"/>
  <c r="N31" i="18" s="1"/>
  <c r="AL60" i="26"/>
  <c r="AM60" i="26" s="1"/>
  <c r="N119" i="18" s="1"/>
  <c r="Z62" i="18"/>
  <c r="Z103" i="18"/>
  <c r="P57" i="18"/>
  <c r="G57" i="18"/>
  <c r="P100" i="18"/>
  <c r="G100" i="18"/>
  <c r="P36" i="18"/>
  <c r="G36" i="18"/>
  <c r="P124" i="18"/>
  <c r="G124" i="18"/>
  <c r="P56" i="18"/>
  <c r="G56" i="18"/>
  <c r="BB50" i="26"/>
  <c r="BC49" i="26"/>
  <c r="N85" i="18" s="1"/>
  <c r="P101" i="18"/>
  <c r="G101" i="18"/>
  <c r="P99" i="18"/>
  <c r="G99" i="18"/>
  <c r="P121" i="18"/>
  <c r="G121" i="18"/>
  <c r="P64" i="18"/>
  <c r="G64" i="18"/>
  <c r="P98" i="18"/>
  <c r="G98" i="18"/>
  <c r="Z100" i="18"/>
  <c r="Z56" i="18"/>
  <c r="P63" i="18"/>
  <c r="G63" i="18"/>
  <c r="BB52" i="26"/>
  <c r="P35" i="18"/>
  <c r="G35" i="18"/>
  <c r="P127" i="18"/>
  <c r="G127" i="18"/>
  <c r="Z99" i="18"/>
  <c r="P62" i="18"/>
  <c r="G62" i="18"/>
  <c r="AL50" i="26"/>
  <c r="P122" i="18"/>
  <c r="G122" i="18"/>
  <c r="Z124" i="18"/>
  <c r="P60" i="18"/>
  <c r="G60" i="18"/>
  <c r="Z35" i="18"/>
  <c r="P61" i="18"/>
  <c r="G61" i="18"/>
  <c r="Z97" i="18"/>
  <c r="Z33" i="18"/>
  <c r="P59" i="18"/>
  <c r="G59" i="18"/>
  <c r="Z125" i="18"/>
  <c r="P105" i="18"/>
  <c r="G105" i="18"/>
  <c r="Z123" i="18"/>
  <c r="P104" i="18"/>
  <c r="G104" i="18"/>
  <c r="P32" i="18"/>
  <c r="G32" i="18"/>
  <c r="Z61" i="18"/>
  <c r="P58" i="18"/>
  <c r="G58" i="18"/>
  <c r="BB59" i="26"/>
  <c r="P97" i="18"/>
  <c r="G97" i="18"/>
  <c r="P106" i="18"/>
  <c r="G106" i="18"/>
  <c r="P103" i="18"/>
  <c r="G103" i="18"/>
  <c r="BC56" i="26"/>
  <c r="N19" i="18" s="1"/>
  <c r="P125" i="18"/>
  <c r="G125" i="18"/>
  <c r="P123" i="18"/>
  <c r="G123" i="18"/>
  <c r="Z101" i="18"/>
  <c r="P33" i="18"/>
  <c r="G33" i="18"/>
  <c r="P102" i="18"/>
  <c r="G102" i="18"/>
  <c r="P34" i="18"/>
  <c r="G34" i="18"/>
  <c r="P126" i="18"/>
  <c r="G126" i="18"/>
  <c r="AL61" i="26"/>
  <c r="AM61" i="26" s="1"/>
  <c r="N120" i="18" s="1"/>
  <c r="Z60" i="18"/>
  <c r="Z106" i="18"/>
  <c r="Z36" i="18"/>
  <c r="Z64" i="18"/>
  <c r="Z63" i="18"/>
  <c r="Z102" i="18"/>
  <c r="Z98" i="18"/>
  <c r="Z105" i="18"/>
  <c r="Z104" i="18"/>
  <c r="Z32" i="18"/>
  <c r="Z127" i="18"/>
  <c r="Z126" i="18"/>
  <c r="Z57" i="18"/>
  <c r="Z58" i="18"/>
  <c r="AL58" i="26"/>
  <c r="AM58" i="26" s="1"/>
  <c r="N117" i="18" s="1"/>
  <c r="AL59" i="26"/>
  <c r="AM59" i="26" s="1"/>
  <c r="BB54" i="26"/>
  <c r="AL51" i="26"/>
  <c r="BB60" i="26"/>
  <c r="X147" i="18"/>
  <c r="AL53" i="26"/>
  <c r="BB58" i="26"/>
  <c r="BB55" i="26"/>
  <c r="BB62" i="26"/>
  <c r="AY25" i="26"/>
  <c r="BB61" i="26"/>
  <c r="BB57" i="26"/>
  <c r="AI30" i="26"/>
  <c r="BB53" i="26"/>
  <c r="AL52" i="26"/>
  <c r="AL56" i="26"/>
  <c r="BK7" i="17"/>
  <c r="BJ10" i="17"/>
  <c r="X151" i="18"/>
  <c r="BA7" i="17"/>
  <c r="BK10" i="17"/>
  <c r="BJ7" i="17"/>
  <c r="AZ7" i="17"/>
  <c r="BJ11" i="17"/>
  <c r="BI10" i="17"/>
  <c r="BD38" i="26"/>
  <c r="AY26" i="26"/>
  <c r="AR7" i="17"/>
  <c r="AQ7" i="17"/>
  <c r="AS7" i="17"/>
  <c r="BB7" i="17"/>
  <c r="AL47" i="26"/>
  <c r="AI29" i="26"/>
  <c r="AY29" i="26"/>
  <c r="BG38" i="26"/>
  <c r="O32" i="18"/>
  <c r="X32" i="18"/>
  <c r="L32" i="18"/>
  <c r="BI7" i="17"/>
  <c r="AI23" i="26"/>
  <c r="AK38" i="26"/>
  <c r="AI28" i="26"/>
  <c r="AS10" i="17"/>
  <c r="AQ10" i="17"/>
  <c r="AR10" i="17"/>
  <c r="AN38" i="26"/>
  <c r="AI26" i="26"/>
  <c r="AL46" i="26"/>
  <c r="AM46" i="26" s="1"/>
  <c r="AL38" i="26"/>
  <c r="AI24" i="26"/>
  <c r="BB10" i="17"/>
  <c r="BA10" i="17"/>
  <c r="AZ10" i="17"/>
  <c r="AY28" i="26"/>
  <c r="BH38" i="26"/>
  <c r="AY30" i="26"/>
  <c r="AM38" i="26"/>
  <c r="AI25" i="26"/>
  <c r="BB38" i="26"/>
  <c r="AY24" i="26"/>
  <c r="BK11" i="17"/>
  <c r="AY27" i="26"/>
  <c r="BI11" i="17"/>
  <c r="AI27" i="26"/>
  <c r="BA38" i="26"/>
  <c r="AY23" i="26"/>
  <c r="J121" i="18"/>
  <c r="M121" i="18"/>
  <c r="V121" i="18"/>
  <c r="S121" i="18"/>
  <c r="J33" i="18"/>
  <c r="M33" i="18"/>
  <c r="Y33" i="18"/>
  <c r="J104" i="18"/>
  <c r="M104" i="18"/>
  <c r="Y104" i="18"/>
  <c r="Y63" i="18"/>
  <c r="J63" i="18"/>
  <c r="M63" i="18"/>
  <c r="V101" i="18"/>
  <c r="J101" i="18"/>
  <c r="S101" i="18"/>
  <c r="M101" i="18"/>
  <c r="J61" i="18"/>
  <c r="M61" i="18"/>
  <c r="Y61" i="18"/>
  <c r="V59" i="18"/>
  <c r="J59" i="18"/>
  <c r="M59" i="18"/>
  <c r="S59" i="18"/>
  <c r="M127" i="18"/>
  <c r="J127" i="18"/>
  <c r="Y127" i="18"/>
  <c r="V100" i="18"/>
  <c r="M100" i="18"/>
  <c r="J100" i="18"/>
  <c r="S100" i="18"/>
  <c r="J126" i="18"/>
  <c r="Y126" i="18"/>
  <c r="M126" i="18"/>
  <c r="V122" i="18"/>
  <c r="J122" i="18"/>
  <c r="S122" i="18"/>
  <c r="M122" i="18"/>
  <c r="M106" i="18"/>
  <c r="J106" i="18"/>
  <c r="Y106" i="18"/>
  <c r="V99" i="18"/>
  <c r="M99" i="18"/>
  <c r="S99" i="18"/>
  <c r="J99" i="18"/>
  <c r="Y62" i="18"/>
  <c r="M62" i="18"/>
  <c r="J62" i="18"/>
  <c r="V60" i="18"/>
  <c r="S60" i="18"/>
  <c r="M60" i="18"/>
  <c r="J60" i="18"/>
  <c r="V58" i="18"/>
  <c r="J58" i="18"/>
  <c r="M58" i="18"/>
  <c r="S58" i="18"/>
  <c r="M32" i="18"/>
  <c r="J32" i="18"/>
  <c r="Y32" i="18"/>
  <c r="J102" i="18"/>
  <c r="M102" i="18"/>
  <c r="Y102" i="18"/>
  <c r="V57" i="18"/>
  <c r="J57" i="18"/>
  <c r="M57" i="18"/>
  <c r="S57" i="18"/>
  <c r="Y125" i="18"/>
  <c r="M125" i="18"/>
  <c r="J125" i="18"/>
  <c r="V98" i="18"/>
  <c r="S98" i="18"/>
  <c r="J98" i="18"/>
  <c r="M98" i="18"/>
  <c r="Y124" i="18"/>
  <c r="J124" i="18"/>
  <c r="M124" i="18"/>
  <c r="J35" i="18"/>
  <c r="M35" i="18"/>
  <c r="Y35" i="18"/>
  <c r="M34" i="18"/>
  <c r="J34" i="18"/>
  <c r="J56" i="18"/>
  <c r="M56" i="18"/>
  <c r="V56" i="18"/>
  <c r="S56" i="18"/>
  <c r="J105" i="18"/>
  <c r="Y105" i="18"/>
  <c r="V97" i="18"/>
  <c r="J97" i="18"/>
  <c r="S97" i="18"/>
  <c r="M97" i="18"/>
  <c r="J103" i="18"/>
  <c r="M103" i="18"/>
  <c r="Y103" i="18"/>
  <c r="J36" i="18"/>
  <c r="M36" i="18"/>
  <c r="Y36" i="18"/>
  <c r="M123" i="18"/>
  <c r="J123" i="18"/>
  <c r="Y123" i="18"/>
  <c r="Y64" i="18"/>
  <c r="M64" i="18"/>
  <c r="J64" i="18"/>
  <c r="Y34" i="18"/>
  <c r="K32" i="8"/>
  <c r="K33" i="8"/>
  <c r="K31" i="8"/>
  <c r="T21" i="12"/>
  <c r="R40" i="12"/>
  <c r="P40" i="12"/>
  <c r="Q40" i="12"/>
  <c r="T33" i="12"/>
  <c r="T18" i="18"/>
  <c r="T19" i="18"/>
  <c r="T20" i="18"/>
  <c r="T21" i="18"/>
  <c r="Q18" i="18"/>
  <c r="Q19" i="18"/>
  <c r="Q20" i="18"/>
  <c r="Q21" i="18"/>
  <c r="T17" i="18"/>
  <c r="Q17" i="18"/>
  <c r="T83" i="18"/>
  <c r="T84" i="18"/>
  <c r="T85" i="18"/>
  <c r="T86" i="18"/>
  <c r="T82" i="18"/>
  <c r="Q83" i="18"/>
  <c r="Q84" i="18"/>
  <c r="Q85" i="18"/>
  <c r="Q86" i="18"/>
  <c r="Q82" i="18"/>
  <c r="T27" i="18"/>
  <c r="T28" i="18"/>
  <c r="T29" i="18"/>
  <c r="T30" i="18"/>
  <c r="T31" i="18"/>
  <c r="T26" i="18"/>
  <c r="T119" i="18"/>
  <c r="T120" i="18"/>
  <c r="T117" i="18"/>
  <c r="Q119" i="18"/>
  <c r="Q120" i="18"/>
  <c r="Q117" i="18"/>
  <c r="Q27" i="18"/>
  <c r="Q28" i="18"/>
  <c r="Q29" i="18"/>
  <c r="Q30" i="18"/>
  <c r="Q31" i="18"/>
  <c r="Q26" i="18"/>
  <c r="U21" i="27"/>
  <c r="U20" i="27"/>
  <c r="R32" i="27"/>
  <c r="R31" i="27"/>
  <c r="R30" i="27"/>
  <c r="R29" i="27"/>
  <c r="R28" i="27"/>
  <c r="R27" i="27"/>
  <c r="R26" i="27"/>
  <c r="R25" i="27"/>
  <c r="R24" i="27"/>
  <c r="L18" i="27"/>
  <c r="L13" i="27"/>
  <c r="L3" i="27"/>
  <c r="H18" i="27"/>
  <c r="H13" i="27"/>
  <c r="H9" i="27"/>
  <c r="H3" i="27"/>
  <c r="AM56" i="26" l="1"/>
  <c r="N30" i="18" s="1"/>
  <c r="BC60" i="26"/>
  <c r="N23" i="18" s="1"/>
  <c r="BC59" i="26"/>
  <c r="N22" i="18" s="1"/>
  <c r="AM52" i="26"/>
  <c r="N26" i="18" s="1"/>
  <c r="AM51" i="26"/>
  <c r="N16" i="18" s="1"/>
  <c r="BC50" i="26"/>
  <c r="BC54" i="26"/>
  <c r="N17" i="18" s="1"/>
  <c r="BC53" i="26"/>
  <c r="N89" i="18" s="1"/>
  <c r="BC57" i="26"/>
  <c r="BC61" i="26"/>
  <c r="N24" i="18" s="1"/>
  <c r="BC62" i="26"/>
  <c r="N25" i="18" s="1"/>
  <c r="AM47" i="26"/>
  <c r="N12" i="18" s="1"/>
  <c r="BC55" i="26"/>
  <c r="N18" i="18" s="1"/>
  <c r="BC52" i="26"/>
  <c r="N88" i="18" s="1"/>
  <c r="BC58" i="26"/>
  <c r="N21" i="18" s="1"/>
  <c r="T147" i="18"/>
  <c r="AM53" i="26"/>
  <c r="N27" i="18" s="1"/>
  <c r="AM50" i="26"/>
  <c r="N15" i="18" s="1"/>
  <c r="AN58" i="26"/>
  <c r="T143" i="18"/>
  <c r="Q143" i="18"/>
  <c r="Q147" i="18"/>
  <c r="L33" i="8"/>
  <c r="H122" i="18" s="1"/>
  <c r="Y143" i="18"/>
  <c r="Y147" i="18"/>
  <c r="X150" i="18"/>
  <c r="X143" i="18"/>
  <c r="Q151" i="18"/>
  <c r="Q149" i="18"/>
  <c r="Q141" i="18"/>
  <c r="Q145" i="18"/>
  <c r="T151" i="18"/>
  <c r="T149" i="18"/>
  <c r="T141" i="18"/>
  <c r="Y150" i="18"/>
  <c r="T150" i="18"/>
  <c r="T145" i="18"/>
  <c r="Q150" i="18"/>
  <c r="Y151" i="18"/>
  <c r="BK6" i="17"/>
  <c r="BI6" i="17"/>
  <c r="L32" i="8"/>
  <c r="J74" i="8" s="1"/>
  <c r="N11" i="18"/>
  <c r="BJ6" i="17"/>
  <c r="AG11" i="17"/>
  <c r="AF11" i="17"/>
  <c r="AE11" i="17"/>
  <c r="AY6" i="17"/>
  <c r="AW6" i="17"/>
  <c r="AX6" i="17"/>
  <c r="BN7" i="17"/>
  <c r="BM7" i="17"/>
  <c r="BL7" i="17"/>
  <c r="BN6" i="17"/>
  <c r="BM6" i="17"/>
  <c r="BL6" i="17"/>
  <c r="AV10" i="17"/>
  <c r="AU10" i="17"/>
  <c r="AT10" i="17"/>
  <c r="AP6" i="17"/>
  <c r="AN6" i="17"/>
  <c r="AO6" i="17"/>
  <c r="BN11" i="17"/>
  <c r="BM11" i="17"/>
  <c r="BL11" i="17"/>
  <c r="BE10" i="17"/>
  <c r="BD10" i="17"/>
  <c r="BC10" i="17"/>
  <c r="AO11" i="17"/>
  <c r="AN11" i="17"/>
  <c r="AP11" i="17"/>
  <c r="BN10" i="17"/>
  <c r="BM10" i="17"/>
  <c r="BL10" i="17"/>
  <c r="AU7" i="17"/>
  <c r="AV7" i="17"/>
  <c r="AT7" i="17"/>
  <c r="AX11" i="17"/>
  <c r="AY11" i="17"/>
  <c r="AW11" i="17"/>
  <c r="BD7" i="17"/>
  <c r="BE7" i="17"/>
  <c r="BC7" i="17"/>
  <c r="S31" i="27"/>
  <c r="T31" i="27" s="1"/>
  <c r="W24" i="18" s="1"/>
  <c r="S32" i="27"/>
  <c r="T32" i="27" s="1"/>
  <c r="W25" i="18" s="1"/>
  <c r="S24" i="27"/>
  <c r="T24" i="27" s="1"/>
  <c r="W87" i="18" s="1"/>
  <c r="S25" i="27"/>
  <c r="T25" i="27" s="1"/>
  <c r="W88" i="18" s="1"/>
  <c r="S26" i="27"/>
  <c r="T26" i="27" s="1"/>
  <c r="W89" i="18" s="1"/>
  <c r="S29" i="27"/>
  <c r="T29" i="27" s="1"/>
  <c r="S27" i="27"/>
  <c r="T27" i="27" s="1"/>
  <c r="W90" i="18" s="1"/>
  <c r="S28" i="27"/>
  <c r="T28" i="27" s="1"/>
  <c r="W91" i="18" s="1"/>
  <c r="S30" i="27"/>
  <c r="T30" i="27" s="1"/>
  <c r="W23" i="18" s="1"/>
  <c r="AX5" i="17"/>
  <c r="AN9" i="17"/>
  <c r="Q4" i="2"/>
  <c r="N4" i="2"/>
  <c r="AN5" i="17"/>
  <c r="AX9" i="17"/>
  <c r="N8" i="2"/>
  <c r="Q8" i="2"/>
  <c r="AW9" i="17"/>
  <c r="AW5" i="17"/>
  <c r="AO9" i="17"/>
  <c r="N10" i="2"/>
  <c r="AY9" i="17"/>
  <c r="Q10" i="2"/>
  <c r="AP9" i="17"/>
  <c r="AY5" i="17"/>
  <c r="Q5" i="2"/>
  <c r="L31" i="8"/>
  <c r="AO5" i="17"/>
  <c r="N5" i="2"/>
  <c r="AP5" i="17"/>
  <c r="BD54" i="26" l="1"/>
  <c r="N90" i="18"/>
  <c r="BD46" i="26"/>
  <c r="N91" i="18"/>
  <c r="AN46" i="26"/>
  <c r="AG6" i="17"/>
  <c r="AF6" i="17"/>
  <c r="AE6" i="17"/>
  <c r="N86" i="18"/>
  <c r="AN52" i="26"/>
  <c r="N20" i="18"/>
  <c r="N141" i="18" s="1"/>
  <c r="H121" i="18"/>
  <c r="J75" i="8"/>
  <c r="W145" i="18"/>
  <c r="T8" i="2"/>
  <c r="BF9" i="17"/>
  <c r="U24" i="27"/>
  <c r="BG9" i="17"/>
  <c r="W22" i="18"/>
  <c r="U29" i="27"/>
  <c r="BH9" i="17"/>
  <c r="AE5" i="17" l="1"/>
  <c r="AF5" i="17"/>
  <c r="AG5" i="17"/>
  <c r="W141" i="18"/>
  <c r="W149" i="18"/>
  <c r="BH5" i="17"/>
  <c r="T4" i="2"/>
  <c r="BF5" i="17"/>
  <c r="BG5" i="17"/>
  <c r="K10" i="2"/>
  <c r="K4" i="2"/>
  <c r="K5" i="2"/>
  <c r="T21" i="15"/>
  <c r="U21" i="15"/>
  <c r="V21" i="15"/>
  <c r="W21" i="15"/>
  <c r="X21" i="15"/>
  <c r="Y21" i="15"/>
  <c r="Z21" i="15"/>
  <c r="AA21" i="15"/>
  <c r="AB21" i="15"/>
  <c r="AC21" i="15"/>
  <c r="AC45" i="15" s="1"/>
  <c r="AD21" i="15"/>
  <c r="AD45" i="15" s="1"/>
  <c r="T22" i="15"/>
  <c r="U22" i="15"/>
  <c r="V22" i="15"/>
  <c r="W22" i="15"/>
  <c r="X22" i="15"/>
  <c r="Y22" i="15"/>
  <c r="Z22" i="15"/>
  <c r="AA22" i="15"/>
  <c r="AB22" i="15"/>
  <c r="AC22" i="15"/>
  <c r="AC46" i="15" s="1"/>
  <c r="AD22" i="15"/>
  <c r="AD46" i="15" s="1"/>
  <c r="T23" i="15"/>
  <c r="T47" i="15" s="1"/>
  <c r="U23" i="15"/>
  <c r="U47" i="15" s="1"/>
  <c r="V23" i="15"/>
  <c r="V47" i="15" s="1"/>
  <c r="W23" i="15"/>
  <c r="W47" i="15" s="1"/>
  <c r="X23" i="15"/>
  <c r="X47" i="15" s="1"/>
  <c r="Y23" i="15"/>
  <c r="Y47" i="15" s="1"/>
  <c r="Z23" i="15"/>
  <c r="Z47" i="15" s="1"/>
  <c r="AA23" i="15"/>
  <c r="AA47" i="15" s="1"/>
  <c r="AB23" i="15"/>
  <c r="AB47" i="15" s="1"/>
  <c r="AC23" i="15"/>
  <c r="AC47" i="15" s="1"/>
  <c r="AD23" i="15"/>
  <c r="AD47" i="15" s="1"/>
  <c r="T24" i="15"/>
  <c r="T48" i="15" s="1"/>
  <c r="U24" i="15"/>
  <c r="U48" i="15" s="1"/>
  <c r="V24" i="15"/>
  <c r="V48" i="15" s="1"/>
  <c r="W24" i="15"/>
  <c r="W48" i="15" s="1"/>
  <c r="X24" i="15"/>
  <c r="X48" i="15" s="1"/>
  <c r="Y24" i="15"/>
  <c r="Y48" i="15" s="1"/>
  <c r="Z24" i="15"/>
  <c r="Z48" i="15" s="1"/>
  <c r="AA24" i="15"/>
  <c r="AA48" i="15" s="1"/>
  <c r="AB24" i="15"/>
  <c r="AB48" i="15" s="1"/>
  <c r="AC24" i="15"/>
  <c r="AC48" i="15" s="1"/>
  <c r="AD24" i="15"/>
  <c r="AD48" i="15" s="1"/>
  <c r="T25" i="15"/>
  <c r="T49" i="15" s="1"/>
  <c r="U25" i="15"/>
  <c r="U49" i="15" s="1"/>
  <c r="V25" i="15"/>
  <c r="V49" i="15" s="1"/>
  <c r="W25" i="15"/>
  <c r="W49" i="15" s="1"/>
  <c r="X25" i="15"/>
  <c r="X49" i="15" s="1"/>
  <c r="Y25" i="15"/>
  <c r="Y49" i="15" s="1"/>
  <c r="Z25" i="15"/>
  <c r="Z49" i="15" s="1"/>
  <c r="AA25" i="15"/>
  <c r="AA49" i="15" s="1"/>
  <c r="AB25" i="15"/>
  <c r="AB49" i="15" s="1"/>
  <c r="AC25" i="15"/>
  <c r="AC49" i="15" s="1"/>
  <c r="AD25" i="15"/>
  <c r="AD49" i="15" s="1"/>
  <c r="T26" i="15"/>
  <c r="T50" i="15" s="1"/>
  <c r="U26" i="15"/>
  <c r="U50" i="15" s="1"/>
  <c r="V26" i="15"/>
  <c r="V50" i="15" s="1"/>
  <c r="W26" i="15"/>
  <c r="W50" i="15" s="1"/>
  <c r="X26" i="15"/>
  <c r="X50" i="15" s="1"/>
  <c r="Y26" i="15"/>
  <c r="Y50" i="15" s="1"/>
  <c r="Z26" i="15"/>
  <c r="Z50" i="15" s="1"/>
  <c r="AA26" i="15"/>
  <c r="AA50" i="15" s="1"/>
  <c r="AB26" i="15"/>
  <c r="AB50" i="15" s="1"/>
  <c r="AC26" i="15"/>
  <c r="AC50" i="15" s="1"/>
  <c r="AD26" i="15"/>
  <c r="AD50" i="15" s="1"/>
  <c r="T27" i="15"/>
  <c r="T51" i="15" s="1"/>
  <c r="U27" i="15"/>
  <c r="U51" i="15" s="1"/>
  <c r="V27" i="15"/>
  <c r="V51" i="15" s="1"/>
  <c r="W27" i="15"/>
  <c r="X27" i="15"/>
  <c r="Y27" i="15"/>
  <c r="Y51" i="15" s="1"/>
  <c r="Z27" i="15"/>
  <c r="Z51" i="15" s="1"/>
  <c r="AA27" i="15"/>
  <c r="AA51" i="15" s="1"/>
  <c r="AB27" i="15"/>
  <c r="AB51" i="15" s="1"/>
  <c r="AC27" i="15"/>
  <c r="AC51" i="15" s="1"/>
  <c r="AD27" i="15"/>
  <c r="AD51" i="15" s="1"/>
  <c r="T28" i="15"/>
  <c r="T52" i="15" s="1"/>
  <c r="U28" i="15"/>
  <c r="U52" i="15" s="1"/>
  <c r="V28" i="15"/>
  <c r="V52" i="15" s="1"/>
  <c r="W28" i="15"/>
  <c r="X28" i="15"/>
  <c r="Y28" i="15"/>
  <c r="Y52" i="15" s="1"/>
  <c r="Z28" i="15"/>
  <c r="Z52" i="15" s="1"/>
  <c r="AA28" i="15"/>
  <c r="AA52" i="15" s="1"/>
  <c r="AB28" i="15"/>
  <c r="AB52" i="15" s="1"/>
  <c r="AC28" i="15"/>
  <c r="AD28" i="15"/>
  <c r="S22" i="15"/>
  <c r="S23" i="15"/>
  <c r="S47" i="15" s="1"/>
  <c r="S24" i="15"/>
  <c r="S48" i="15" s="1"/>
  <c r="S25" i="15"/>
  <c r="S49" i="15" s="1"/>
  <c r="S26" i="15"/>
  <c r="S50" i="15" s="1"/>
  <c r="S27" i="15"/>
  <c r="S51" i="15" s="1"/>
  <c r="S28" i="15"/>
  <c r="S52" i="15" s="1"/>
  <c r="S21" i="15"/>
  <c r="X11" i="14"/>
  <c r="T14" i="14" s="1"/>
  <c r="U57" i="15" l="1"/>
  <c r="K14" i="18" s="1"/>
  <c r="R32" i="15"/>
  <c r="U59" i="15"/>
  <c r="K16" i="18" s="1"/>
  <c r="R38" i="15"/>
  <c r="Z15" i="14"/>
  <c r="Z39" i="14" s="1"/>
  <c r="U66" i="15"/>
  <c r="K117" i="18" s="1"/>
  <c r="X15" i="14"/>
  <c r="X39" i="14" s="1"/>
  <c r="U56" i="15"/>
  <c r="K13" i="18" s="1"/>
  <c r="U54" i="15"/>
  <c r="K11" i="18" s="1"/>
  <c r="U61" i="15"/>
  <c r="K27" i="18" s="1"/>
  <c r="U58" i="15"/>
  <c r="K15" i="18" s="1"/>
  <c r="R40" i="15"/>
  <c r="V19" i="14"/>
  <c r="V43" i="14" s="1"/>
  <c r="U79" i="15"/>
  <c r="K91" i="18" s="1"/>
  <c r="U69" i="15"/>
  <c r="K120" i="18" s="1"/>
  <c r="U85" i="15"/>
  <c r="K22" i="18" s="1"/>
  <c r="U65" i="15"/>
  <c r="K31" i="18" s="1"/>
  <c r="U70" i="15"/>
  <c r="K82" i="18" s="1"/>
  <c r="R39" i="15"/>
  <c r="R37" i="15"/>
  <c r="R36" i="15"/>
  <c r="W19" i="14"/>
  <c r="W43" i="14" s="1"/>
  <c r="R35" i="15"/>
  <c r="R34" i="15"/>
  <c r="U72" i="15"/>
  <c r="K84" i="18" s="1"/>
  <c r="R33" i="15"/>
  <c r="U55" i="15"/>
  <c r="K12" i="18" s="1"/>
  <c r="U80" i="15"/>
  <c r="K17" i="18" s="1"/>
  <c r="AD18" i="14"/>
  <c r="AD42" i="14" s="1"/>
  <c r="U63" i="15"/>
  <c r="K29" i="18" s="1"/>
  <c r="S19" i="14"/>
  <c r="AD17" i="14"/>
  <c r="AD41" i="14" s="1"/>
  <c r="S16" i="14"/>
  <c r="S40" i="14" s="1"/>
  <c r="U67" i="15"/>
  <c r="U83" i="15"/>
  <c r="K20" i="18" s="1"/>
  <c r="U82" i="15"/>
  <c r="K19" i="18" s="1"/>
  <c r="U74" i="15"/>
  <c r="K86" i="18" s="1"/>
  <c r="AC18" i="14"/>
  <c r="AC42" i="14" s="1"/>
  <c r="U78" i="15"/>
  <c r="K90" i="18" s="1"/>
  <c r="S18" i="14"/>
  <c r="S42" i="14" s="1"/>
  <c r="AC14" i="14"/>
  <c r="AC38" i="14" s="1"/>
  <c r="S17" i="14"/>
  <c r="S41" i="14" s="1"/>
  <c r="Z17" i="14"/>
  <c r="Z41" i="14" s="1"/>
  <c r="AD20" i="14"/>
  <c r="U62" i="15"/>
  <c r="K28" i="18" s="1"/>
  <c r="AD14" i="14"/>
  <c r="AD38" i="14" s="1"/>
  <c r="AA14" i="14"/>
  <c r="AA38" i="14" s="1"/>
  <c r="U87" i="15"/>
  <c r="K24" i="18" s="1"/>
  <c r="T15" i="14"/>
  <c r="T39" i="14" s="1"/>
  <c r="U88" i="15"/>
  <c r="K25" i="18" s="1"/>
  <c r="AB17" i="14"/>
  <c r="AB41" i="14" s="1"/>
  <c r="Y13" i="14"/>
  <c r="Y37" i="14" s="1"/>
  <c r="S14" i="14"/>
  <c r="S38" i="14" s="1"/>
  <c r="Y20" i="14"/>
  <c r="U68" i="15"/>
  <c r="K119" i="18" s="1"/>
  <c r="U84" i="15"/>
  <c r="K21" i="18" s="1"/>
  <c r="U19" i="14"/>
  <c r="U43" i="14" s="1"/>
  <c r="U64" i="15"/>
  <c r="K30" i="18" s="1"/>
  <c r="U76" i="15"/>
  <c r="K88" i="18" s="1"/>
  <c r="U60" i="15"/>
  <c r="U86" i="15"/>
  <c r="K23" i="18" s="1"/>
  <c r="AC17" i="14"/>
  <c r="AC41" i="14" s="1"/>
  <c r="U17" i="14"/>
  <c r="U41" i="14" s="1"/>
  <c r="T17" i="14"/>
  <c r="T41" i="14" s="1"/>
  <c r="AC16" i="14"/>
  <c r="AC40" i="14" s="1"/>
  <c r="AB19" i="14"/>
  <c r="AB43" i="14" s="1"/>
  <c r="AB16" i="14"/>
  <c r="AB40" i="14" s="1"/>
  <c r="Z14" i="14"/>
  <c r="Z38" i="14" s="1"/>
  <c r="U75" i="15"/>
  <c r="K87" i="18" s="1"/>
  <c r="Z20" i="14"/>
  <c r="Y19" i="14"/>
  <c r="Y43" i="14" s="1"/>
  <c r="AB15" i="14"/>
  <c r="AB39" i="14" s="1"/>
  <c r="U73" i="15"/>
  <c r="U77" i="15"/>
  <c r="K89" i="18" s="1"/>
  <c r="U71" i="15"/>
  <c r="K83" i="18" s="1"/>
  <c r="U81" i="15"/>
  <c r="K18" i="18" s="1"/>
  <c r="S15" i="14"/>
  <c r="S39" i="14" s="1"/>
  <c r="X13" i="14"/>
  <c r="X37" i="14" s="1"/>
  <c r="V17" i="14"/>
  <c r="V41" i="14" s="1"/>
  <c r="AC19" i="14"/>
  <c r="AC43" i="14" s="1"/>
  <c r="X19" i="14"/>
  <c r="X43" i="14" s="1"/>
  <c r="AA15" i="14"/>
  <c r="AA39" i="14" s="1"/>
  <c r="AC20" i="14"/>
  <c r="T19" i="14"/>
  <c r="AD16" i="14"/>
  <c r="AD40" i="14" s="1"/>
  <c r="AB14" i="14"/>
  <c r="AB38" i="14" s="1"/>
  <c r="X20" i="14"/>
  <c r="AA18" i="14"/>
  <c r="AA42" i="14" s="1"/>
  <c r="AA16" i="14"/>
  <c r="AA40" i="14" s="1"/>
  <c r="Y14" i="14"/>
  <c r="Y38" i="14" s="1"/>
  <c r="W20" i="14"/>
  <c r="X18" i="14"/>
  <c r="X42" i="14" s="1"/>
  <c r="Y16" i="14"/>
  <c r="Y40" i="14" s="1"/>
  <c r="AD13" i="14"/>
  <c r="AD37" i="14" s="1"/>
  <c r="U20" i="14"/>
  <c r="V18" i="14"/>
  <c r="V42" i="14" s="1"/>
  <c r="T16" i="14"/>
  <c r="T40" i="14" s="1"/>
  <c r="AB13" i="14"/>
  <c r="AB37" i="14" s="1"/>
  <c r="V20" i="14"/>
  <c r="U16" i="14"/>
  <c r="U40" i="14" s="1"/>
  <c r="AC13" i="14"/>
  <c r="AC37" i="14" s="1"/>
  <c r="S13" i="14"/>
  <c r="S37" i="14" s="1"/>
  <c r="T20" i="14"/>
  <c r="U18" i="14"/>
  <c r="U42" i="14" s="1"/>
  <c r="AD15" i="14"/>
  <c r="AD39" i="14" s="1"/>
  <c r="AA13" i="14"/>
  <c r="AA37" i="14" s="1"/>
  <c r="W18" i="14"/>
  <c r="W42" i="14" s="1"/>
  <c r="S20" i="14"/>
  <c r="AD19" i="14"/>
  <c r="AD43" i="14" s="1"/>
  <c r="T18" i="14"/>
  <c r="T42" i="14" s="1"/>
  <c r="AC15" i="14"/>
  <c r="AC39" i="14" s="1"/>
  <c r="Z13" i="14"/>
  <c r="Z37" i="14" s="1"/>
  <c r="T38" i="14"/>
  <c r="AB18" i="14"/>
  <c r="AB42" i="14" s="1"/>
  <c r="AA17" i="14"/>
  <c r="AA41" i="14" s="1"/>
  <c r="Z16" i="14"/>
  <c r="Z40" i="14" s="1"/>
  <c r="Y15" i="14"/>
  <c r="Y39" i="14" s="1"/>
  <c r="X14" i="14"/>
  <c r="X38" i="14" s="1"/>
  <c r="W13" i="14"/>
  <c r="W37" i="14" s="1"/>
  <c r="W14" i="14"/>
  <c r="W38" i="14" s="1"/>
  <c r="V13" i="14"/>
  <c r="V37" i="14" s="1"/>
  <c r="AB20" i="14"/>
  <c r="AA19" i="14"/>
  <c r="AA43" i="14" s="1"/>
  <c r="Z18" i="14"/>
  <c r="Z42" i="14" s="1"/>
  <c r="Y17" i="14"/>
  <c r="Y41" i="14" s="1"/>
  <c r="X16" i="14"/>
  <c r="X40" i="14" s="1"/>
  <c r="W15" i="14"/>
  <c r="W39" i="14" s="1"/>
  <c r="U57" i="14" s="1"/>
  <c r="I31" i="18" s="1"/>
  <c r="V14" i="14"/>
  <c r="V38" i="14" s="1"/>
  <c r="U13" i="14"/>
  <c r="U37" i="14" s="1"/>
  <c r="AA20" i="14"/>
  <c r="Z19" i="14"/>
  <c r="Z43" i="14" s="1"/>
  <c r="Y18" i="14"/>
  <c r="Y42" i="14" s="1"/>
  <c r="X17" i="14"/>
  <c r="X41" i="14" s="1"/>
  <c r="W16" i="14"/>
  <c r="W40" i="14" s="1"/>
  <c r="V15" i="14"/>
  <c r="V39" i="14" s="1"/>
  <c r="U14" i="14"/>
  <c r="U38" i="14" s="1"/>
  <c r="T13" i="14"/>
  <c r="T37" i="14" s="1"/>
  <c r="W17" i="14"/>
  <c r="W41" i="14" s="1"/>
  <c r="V16" i="14"/>
  <c r="V40" i="14" s="1"/>
  <c r="U15" i="14"/>
  <c r="U39" i="14" s="1"/>
  <c r="Y11" i="26"/>
  <c r="W15" i="26" s="1"/>
  <c r="W39" i="26" s="1"/>
  <c r="I11" i="26"/>
  <c r="V66" i="15" l="1"/>
  <c r="U50" i="14"/>
  <c r="I15" i="18" s="1"/>
  <c r="O15" i="18" s="1"/>
  <c r="U76" i="14"/>
  <c r="I21" i="18" s="1"/>
  <c r="O21" i="18" s="1"/>
  <c r="U69" i="14"/>
  <c r="I89" i="18" s="1"/>
  <c r="X89" i="18" s="1"/>
  <c r="U54" i="14"/>
  <c r="I28" i="18" s="1"/>
  <c r="U47" i="14"/>
  <c r="I12" i="18" s="1"/>
  <c r="O12" i="18" s="1"/>
  <c r="U78" i="14"/>
  <c r="I23" i="18" s="1"/>
  <c r="X23" i="18" s="1"/>
  <c r="U58" i="14"/>
  <c r="I117" i="18" s="1"/>
  <c r="U48" i="14"/>
  <c r="I13" i="18" s="1"/>
  <c r="O13" i="18" s="1"/>
  <c r="U80" i="14"/>
  <c r="I25" i="18" s="1"/>
  <c r="O25" i="18" s="1"/>
  <c r="V70" i="15"/>
  <c r="U61" i="14"/>
  <c r="I120" i="18" s="1"/>
  <c r="R120" i="18" s="1"/>
  <c r="U46" i="14"/>
  <c r="I11" i="18" s="1"/>
  <c r="O11" i="18" s="1"/>
  <c r="U77" i="14"/>
  <c r="I22" i="18" s="1"/>
  <c r="O22" i="18" s="1"/>
  <c r="K85" i="18"/>
  <c r="R25" i="14"/>
  <c r="U65" i="14"/>
  <c r="I85" i="18" s="1"/>
  <c r="O85" i="18" s="1"/>
  <c r="U68" i="14"/>
  <c r="I88" i="18" s="1"/>
  <c r="O88" i="18" s="1"/>
  <c r="R28" i="14"/>
  <c r="U79" i="14"/>
  <c r="I24" i="18" s="1"/>
  <c r="U72" i="14"/>
  <c r="I17" i="18" s="1"/>
  <c r="L17" i="18" s="1"/>
  <c r="Z17" i="26"/>
  <c r="Z41" i="26" s="1"/>
  <c r="Y17" i="26"/>
  <c r="Y41" i="26" s="1"/>
  <c r="AD13" i="26"/>
  <c r="T20" i="26"/>
  <c r="X17" i="26"/>
  <c r="X41" i="26" s="1"/>
  <c r="AA17" i="26"/>
  <c r="AE13" i="26"/>
  <c r="Z16" i="26"/>
  <c r="Z40" i="26" s="1"/>
  <c r="AD19" i="26"/>
  <c r="AC13" i="26"/>
  <c r="W16" i="26"/>
  <c r="W40" i="26" s="1"/>
  <c r="AB14" i="26"/>
  <c r="AB38" i="26" s="1"/>
  <c r="AB13" i="26"/>
  <c r="U59" i="14"/>
  <c r="U20" i="26"/>
  <c r="X16" i="26"/>
  <c r="X40" i="26" s="1"/>
  <c r="Z13" i="26"/>
  <c r="W13" i="26"/>
  <c r="U16" i="26"/>
  <c r="U40" i="26" s="1"/>
  <c r="AB19" i="26"/>
  <c r="V16" i="26"/>
  <c r="V40" i="26" s="1"/>
  <c r="U55" i="14"/>
  <c r="I29" i="18" s="1"/>
  <c r="O29" i="18" s="1"/>
  <c r="T16" i="26"/>
  <c r="Z20" i="26"/>
  <c r="Z18" i="26"/>
  <c r="Z42" i="26" s="1"/>
  <c r="V15" i="26"/>
  <c r="V39" i="26" s="1"/>
  <c r="L15" i="18"/>
  <c r="AE18" i="26"/>
  <c r="Y13" i="26"/>
  <c r="AD18" i="26"/>
  <c r="U49" i="14"/>
  <c r="I14" i="18" s="1"/>
  <c r="U53" i="14"/>
  <c r="I27" i="18" s="1"/>
  <c r="L27" i="18" s="1"/>
  <c r="R26" i="14"/>
  <c r="Y16" i="26"/>
  <c r="Y40" i="26" s="1"/>
  <c r="AA13" i="26"/>
  <c r="X18" i="26"/>
  <c r="X42" i="26" s="1"/>
  <c r="X20" i="26"/>
  <c r="AD17" i="26"/>
  <c r="T15" i="26"/>
  <c r="U62" i="14"/>
  <c r="I82" i="18" s="1"/>
  <c r="U64" i="14"/>
  <c r="I84" i="18" s="1"/>
  <c r="R84" i="18" s="1"/>
  <c r="U75" i="14"/>
  <c r="I20" i="18" s="1"/>
  <c r="AC14" i="26"/>
  <c r="AC38" i="26" s="1"/>
  <c r="U19" i="26"/>
  <c r="U43" i="26" s="1"/>
  <c r="T19" i="26"/>
  <c r="AC18" i="26"/>
  <c r="W20" i="26"/>
  <c r="AC17" i="26"/>
  <c r="AE14" i="26"/>
  <c r="U71" i="14"/>
  <c r="I91" i="18" s="1"/>
  <c r="O91" i="18" s="1"/>
  <c r="U74" i="14"/>
  <c r="I19" i="18" s="1"/>
  <c r="O19" i="18" s="1"/>
  <c r="U66" i="14"/>
  <c r="I86" i="18" s="1"/>
  <c r="V19" i="26"/>
  <c r="V43" i="26" s="1"/>
  <c r="U13" i="26"/>
  <c r="AB18" i="26"/>
  <c r="Y20" i="26"/>
  <c r="U15" i="26"/>
  <c r="U39" i="26" s="1"/>
  <c r="V20" i="26"/>
  <c r="AB17" i="26"/>
  <c r="AD14" i="26"/>
  <c r="AD38" i="26" s="1"/>
  <c r="U73" i="14"/>
  <c r="I18" i="18" s="1"/>
  <c r="O18" i="18" s="1"/>
  <c r="U70" i="14"/>
  <c r="I90" i="18" s="1"/>
  <c r="L90" i="18" s="1"/>
  <c r="V11" i="17"/>
  <c r="W11" i="17"/>
  <c r="X11" i="17"/>
  <c r="O31" i="18"/>
  <c r="U31" i="18"/>
  <c r="R31" i="18"/>
  <c r="O28" i="18"/>
  <c r="U28" i="18"/>
  <c r="R28" i="18"/>
  <c r="U85" i="18"/>
  <c r="R85" i="18"/>
  <c r="V5" i="17"/>
  <c r="W5" i="17"/>
  <c r="X5" i="17"/>
  <c r="L31" i="18"/>
  <c r="H10" i="2"/>
  <c r="H4" i="2"/>
  <c r="L28" i="18"/>
  <c r="O89" i="18"/>
  <c r="L89" i="18"/>
  <c r="X13" i="26"/>
  <c r="AE19" i="26"/>
  <c r="AA18" i="26"/>
  <c r="W17" i="26"/>
  <c r="W41" i="26" s="1"/>
  <c r="AE15" i="26"/>
  <c r="AA14" i="26"/>
  <c r="V17" i="26"/>
  <c r="V41" i="26" s="1"/>
  <c r="AD15" i="26"/>
  <c r="AD39" i="26" s="1"/>
  <c r="Z14" i="26"/>
  <c r="V13" i="26"/>
  <c r="AC19" i="26"/>
  <c r="Y18" i="26"/>
  <c r="Y42" i="26" s="1"/>
  <c r="U17" i="26"/>
  <c r="U41" i="26" s="1"/>
  <c r="AC15" i="26"/>
  <c r="AC39" i="26" s="1"/>
  <c r="Y14" i="26"/>
  <c r="T17" i="26"/>
  <c r="AB15" i="26"/>
  <c r="AB39" i="26" s="1"/>
  <c r="X14" i="26"/>
  <c r="U56" i="14"/>
  <c r="I30" i="18" s="1"/>
  <c r="U60" i="14"/>
  <c r="I119" i="18" s="1"/>
  <c r="V80" i="15"/>
  <c r="AE20" i="26"/>
  <c r="AA19" i="26"/>
  <c r="W18" i="26"/>
  <c r="W42" i="26" s="1"/>
  <c r="AE16" i="26"/>
  <c r="AA15" i="26"/>
  <c r="AA39" i="26" s="1"/>
  <c r="W14" i="26"/>
  <c r="V54" i="15"/>
  <c r="AD20" i="26"/>
  <c r="Z19" i="26"/>
  <c r="Z43" i="26" s="1"/>
  <c r="V18" i="26"/>
  <c r="V42" i="26" s="1"/>
  <c r="AD16" i="26"/>
  <c r="Z15" i="26"/>
  <c r="Z39" i="26" s="1"/>
  <c r="V14" i="26"/>
  <c r="U67" i="14"/>
  <c r="I87" i="18" s="1"/>
  <c r="R27" i="14"/>
  <c r="AC20" i="26"/>
  <c r="Y19" i="26"/>
  <c r="Y43" i="26" s="1"/>
  <c r="U18" i="26"/>
  <c r="U42" i="26" s="1"/>
  <c r="AC16" i="26"/>
  <c r="Y15" i="26"/>
  <c r="Y39" i="26" s="1"/>
  <c r="U14" i="26"/>
  <c r="AB20" i="26"/>
  <c r="X19" i="26"/>
  <c r="X43" i="26" s="1"/>
  <c r="T18" i="26"/>
  <c r="AB16" i="26"/>
  <c r="X15" i="26"/>
  <c r="X39" i="26" s="1"/>
  <c r="T14" i="26"/>
  <c r="U63" i="14"/>
  <c r="I83" i="18" s="1"/>
  <c r="V60" i="15"/>
  <c r="K26" i="18"/>
  <c r="T13" i="26"/>
  <c r="AA20" i="26"/>
  <c r="W19" i="26"/>
  <c r="W43" i="26" s="1"/>
  <c r="AE17" i="26"/>
  <c r="AA16" i="26"/>
  <c r="U51" i="14"/>
  <c r="I16" i="18" s="1"/>
  <c r="U52" i="14"/>
  <c r="R24" i="14"/>
  <c r="F20" i="26"/>
  <c r="L20" i="26"/>
  <c r="M20" i="26"/>
  <c r="N20" i="26"/>
  <c r="O20" i="26"/>
  <c r="F14" i="26"/>
  <c r="L14" i="26"/>
  <c r="M14" i="26"/>
  <c r="N14" i="26"/>
  <c r="O14" i="26"/>
  <c r="F15" i="26"/>
  <c r="F39" i="26" s="1"/>
  <c r="L15" i="26"/>
  <c r="L39" i="26" s="1"/>
  <c r="M15" i="26"/>
  <c r="M39" i="26" s="1"/>
  <c r="N15" i="26"/>
  <c r="O15" i="26"/>
  <c r="F16" i="26"/>
  <c r="F40" i="26" s="1"/>
  <c r="L16" i="26"/>
  <c r="L40" i="26" s="1"/>
  <c r="M16" i="26"/>
  <c r="M40" i="26" s="1"/>
  <c r="N16" i="26"/>
  <c r="O16" i="26"/>
  <c r="F17" i="26"/>
  <c r="F41" i="26" s="1"/>
  <c r="L17" i="26"/>
  <c r="L41" i="26" s="1"/>
  <c r="M17" i="26"/>
  <c r="M41" i="26" s="1"/>
  <c r="N17" i="26"/>
  <c r="O17" i="26"/>
  <c r="F18" i="26"/>
  <c r="F42" i="26" s="1"/>
  <c r="L18" i="26"/>
  <c r="M18" i="26"/>
  <c r="N18" i="26"/>
  <c r="O18" i="26"/>
  <c r="F19" i="26"/>
  <c r="F43" i="26" s="1"/>
  <c r="J19" i="26"/>
  <c r="J43" i="26" s="1"/>
  <c r="L19" i="26"/>
  <c r="M19" i="26"/>
  <c r="N19" i="26"/>
  <c r="O19" i="26"/>
  <c r="G13" i="26"/>
  <c r="K13" i="26"/>
  <c r="M13" i="26"/>
  <c r="N13" i="26"/>
  <c r="O13" i="26"/>
  <c r="D13" i="26"/>
  <c r="M15" i="13"/>
  <c r="F12" i="18" s="1"/>
  <c r="M16" i="13"/>
  <c r="F13" i="18" s="1"/>
  <c r="M17" i="13"/>
  <c r="F14" i="18" s="1"/>
  <c r="M18" i="13"/>
  <c r="F15" i="18" s="1"/>
  <c r="M19" i="13"/>
  <c r="F16" i="18" s="1"/>
  <c r="M14" i="13"/>
  <c r="F11" i="18" s="1"/>
  <c r="M66" i="13"/>
  <c r="F25" i="18" s="1"/>
  <c r="I66" i="13"/>
  <c r="E25" i="18" s="1"/>
  <c r="M65" i="13"/>
  <c r="F24" i="18" s="1"/>
  <c r="I65" i="13"/>
  <c r="E24" i="18" s="1"/>
  <c r="M64" i="13"/>
  <c r="F23" i="18" s="1"/>
  <c r="I64" i="13"/>
  <c r="E23" i="18" s="1"/>
  <c r="M63" i="13"/>
  <c r="F22" i="18" s="1"/>
  <c r="I63" i="13"/>
  <c r="E22" i="18" s="1"/>
  <c r="M62" i="13"/>
  <c r="F21" i="18" s="1"/>
  <c r="I62" i="13"/>
  <c r="E21" i="18" s="1"/>
  <c r="M61" i="13"/>
  <c r="F20" i="18" s="1"/>
  <c r="I61" i="13"/>
  <c r="E20" i="18" s="1"/>
  <c r="M60" i="13"/>
  <c r="F19" i="18" s="1"/>
  <c r="I60" i="13"/>
  <c r="E19" i="18" s="1"/>
  <c r="M59" i="13"/>
  <c r="F18" i="18" s="1"/>
  <c r="I59" i="13"/>
  <c r="E18" i="18" s="1"/>
  <c r="M58" i="13"/>
  <c r="F17" i="18" s="1"/>
  <c r="I58" i="13"/>
  <c r="E17" i="18" s="1"/>
  <c r="M57" i="13"/>
  <c r="F91" i="18" s="1"/>
  <c r="M56" i="13"/>
  <c r="F90" i="18" s="1"/>
  <c r="M55" i="13"/>
  <c r="F89" i="18" s="1"/>
  <c r="M54" i="13"/>
  <c r="F88" i="18" s="1"/>
  <c r="M53" i="13"/>
  <c r="F87" i="18" s="1"/>
  <c r="M52" i="13"/>
  <c r="F86" i="18" s="1"/>
  <c r="M51" i="13"/>
  <c r="F85" i="18" s="1"/>
  <c r="M50" i="13"/>
  <c r="F84" i="18" s="1"/>
  <c r="M49" i="13"/>
  <c r="F83" i="18" s="1"/>
  <c r="M48" i="13"/>
  <c r="F82" i="18" s="1"/>
  <c r="I50" i="13"/>
  <c r="E84" i="18" s="1"/>
  <c r="I51" i="13"/>
  <c r="E85" i="18" s="1"/>
  <c r="I52" i="13"/>
  <c r="E86" i="18" s="1"/>
  <c r="I53" i="13"/>
  <c r="E87" i="18" s="1"/>
  <c r="I54" i="13"/>
  <c r="E88" i="18" s="1"/>
  <c r="I55" i="13"/>
  <c r="E89" i="18" s="1"/>
  <c r="I56" i="13"/>
  <c r="E90" i="18" s="1"/>
  <c r="I57" i="13"/>
  <c r="E91" i="18" s="1"/>
  <c r="I48" i="13"/>
  <c r="E82" i="18" s="1"/>
  <c r="I49" i="13"/>
  <c r="E83" i="18" s="1"/>
  <c r="I15" i="13"/>
  <c r="E12" i="18" s="1"/>
  <c r="I16" i="13"/>
  <c r="E13" i="18" s="1"/>
  <c r="I17" i="13"/>
  <c r="E14" i="18" s="1"/>
  <c r="I18" i="13"/>
  <c r="E15" i="18" s="1"/>
  <c r="I19" i="13"/>
  <c r="E16" i="18" s="1"/>
  <c r="I14" i="13"/>
  <c r="E11" i="18" s="1"/>
  <c r="V53" i="26" l="1"/>
  <c r="Z90" i="18"/>
  <c r="L12" i="18"/>
  <c r="Z12" i="18"/>
  <c r="L85" i="18"/>
  <c r="O17" i="18"/>
  <c r="G18" i="18"/>
  <c r="G20" i="18"/>
  <c r="R21" i="18"/>
  <c r="Z22" i="18"/>
  <c r="V57" i="26"/>
  <c r="W57" i="26" s="1"/>
  <c r="N55" i="18" s="1"/>
  <c r="V49" i="26"/>
  <c r="W49" i="26" s="1"/>
  <c r="N79" i="18" s="1"/>
  <c r="L21" i="18"/>
  <c r="U21" i="18"/>
  <c r="L25" i="18"/>
  <c r="G85" i="18"/>
  <c r="G15" i="18"/>
  <c r="G19" i="18"/>
  <c r="U120" i="18"/>
  <c r="G91" i="18"/>
  <c r="O120" i="18"/>
  <c r="Z11" i="18"/>
  <c r="O27" i="18"/>
  <c r="G17" i="18"/>
  <c r="G23" i="18"/>
  <c r="L23" i="18"/>
  <c r="G21" i="18"/>
  <c r="O23" i="18"/>
  <c r="G83" i="18"/>
  <c r="L120" i="18"/>
  <c r="G82" i="18"/>
  <c r="Z18" i="18"/>
  <c r="Z24" i="18"/>
  <c r="Y24" i="18"/>
  <c r="G24" i="18"/>
  <c r="Z83" i="18"/>
  <c r="G84" i="18"/>
  <c r="Z19" i="18"/>
  <c r="Z25" i="18"/>
  <c r="Y25" i="18"/>
  <c r="G25" i="18"/>
  <c r="Z91" i="18"/>
  <c r="G86" i="18"/>
  <c r="Z20" i="18"/>
  <c r="Y87" i="18"/>
  <c r="G87" i="18"/>
  <c r="G11" i="18"/>
  <c r="Z89" i="18"/>
  <c r="Y88" i="18"/>
  <c r="G88" i="18"/>
  <c r="Z21" i="18"/>
  <c r="G16" i="18"/>
  <c r="V50" i="26"/>
  <c r="Y89" i="18"/>
  <c r="G89" i="18"/>
  <c r="Y90" i="18"/>
  <c r="G90" i="18"/>
  <c r="G14" i="18"/>
  <c r="Y22" i="18"/>
  <c r="G22" i="18"/>
  <c r="W53" i="26"/>
  <c r="N51" i="18" s="1"/>
  <c r="L11" i="18"/>
  <c r="G13" i="18"/>
  <c r="Z85" i="18"/>
  <c r="G12" i="18"/>
  <c r="Z88" i="18"/>
  <c r="L88" i="18"/>
  <c r="Z15" i="18"/>
  <c r="Z17" i="18"/>
  <c r="Z23" i="18"/>
  <c r="X25" i="18"/>
  <c r="Z86" i="18"/>
  <c r="Z84" i="18"/>
  <c r="X88" i="18"/>
  <c r="Z87" i="18"/>
  <c r="Z16" i="18"/>
  <c r="Z13" i="18"/>
  <c r="Z14" i="18"/>
  <c r="Z82" i="18"/>
  <c r="U27" i="18"/>
  <c r="L13" i="18"/>
  <c r="V48" i="26"/>
  <c r="L22" i="18"/>
  <c r="V51" i="26"/>
  <c r="R17" i="18"/>
  <c r="U17" i="18"/>
  <c r="V55" i="26"/>
  <c r="X22" i="18"/>
  <c r="V46" i="26"/>
  <c r="W46" i="26" s="1"/>
  <c r="N76" i="18" s="1"/>
  <c r="V52" i="26"/>
  <c r="R18" i="18"/>
  <c r="S29" i="26"/>
  <c r="K141" i="18"/>
  <c r="L91" i="18"/>
  <c r="X91" i="18"/>
  <c r="L18" i="18"/>
  <c r="L29" i="18"/>
  <c r="R27" i="18"/>
  <c r="O84" i="18"/>
  <c r="U84" i="18"/>
  <c r="L19" i="18"/>
  <c r="U18" i="18"/>
  <c r="U29" i="18"/>
  <c r="O20" i="18"/>
  <c r="U20" i="18"/>
  <c r="R20" i="18"/>
  <c r="O86" i="18"/>
  <c r="U86" i="18"/>
  <c r="R86" i="18"/>
  <c r="P11" i="17"/>
  <c r="Q11" i="17"/>
  <c r="R11" i="17"/>
  <c r="V58" i="14"/>
  <c r="F10" i="2" s="1"/>
  <c r="L84" i="18"/>
  <c r="R19" i="18"/>
  <c r="L86" i="18"/>
  <c r="V72" i="14"/>
  <c r="U19" i="18"/>
  <c r="O16" i="18"/>
  <c r="L16" i="18"/>
  <c r="O90" i="18"/>
  <c r="X90" i="18"/>
  <c r="R29" i="18"/>
  <c r="O14" i="18"/>
  <c r="L14" i="18"/>
  <c r="F56" i="26"/>
  <c r="V47" i="26"/>
  <c r="L20" i="18"/>
  <c r="X6" i="17"/>
  <c r="W6" i="17"/>
  <c r="V6" i="17"/>
  <c r="P16" i="18"/>
  <c r="J16" i="18"/>
  <c r="M16" i="18"/>
  <c r="P14" i="18"/>
  <c r="M14" i="18"/>
  <c r="J14" i="18"/>
  <c r="P13" i="18"/>
  <c r="J13" i="18"/>
  <c r="M13" i="18"/>
  <c r="P12" i="18"/>
  <c r="M12" i="18"/>
  <c r="J12" i="18"/>
  <c r="P15" i="18"/>
  <c r="M15" i="18"/>
  <c r="J15" i="18"/>
  <c r="P11" i="18"/>
  <c r="J11" i="18"/>
  <c r="M11" i="18"/>
  <c r="O30" i="18"/>
  <c r="U30" i="18"/>
  <c r="R30" i="18"/>
  <c r="V20" i="18"/>
  <c r="S20" i="18"/>
  <c r="L82" i="18"/>
  <c r="U82" i="18"/>
  <c r="R82" i="18"/>
  <c r="V21" i="18"/>
  <c r="S21" i="18"/>
  <c r="V17" i="18"/>
  <c r="S17" i="18"/>
  <c r="U119" i="18"/>
  <c r="R119" i="18"/>
  <c r="J23" i="18"/>
  <c r="Y23" i="18"/>
  <c r="J91" i="18"/>
  <c r="Y91" i="18"/>
  <c r="S18" i="18"/>
  <c r="V18" i="18"/>
  <c r="R5" i="17"/>
  <c r="X24" i="18"/>
  <c r="U117" i="18"/>
  <c r="R117" i="18"/>
  <c r="O83" i="18"/>
  <c r="U83" i="18"/>
  <c r="R83" i="18"/>
  <c r="J19" i="18"/>
  <c r="S19" i="18"/>
  <c r="V19" i="18"/>
  <c r="V82" i="18"/>
  <c r="S82" i="18"/>
  <c r="S83" i="18"/>
  <c r="V83" i="18"/>
  <c r="J84" i="18"/>
  <c r="V84" i="18"/>
  <c r="S84" i="18"/>
  <c r="J85" i="18"/>
  <c r="S85" i="18"/>
  <c r="V85" i="18"/>
  <c r="O87" i="18"/>
  <c r="X87" i="18"/>
  <c r="S86" i="18"/>
  <c r="V86" i="18"/>
  <c r="L117" i="18"/>
  <c r="Q5" i="17"/>
  <c r="P5" i="17"/>
  <c r="O119" i="18"/>
  <c r="L119" i="18"/>
  <c r="H5" i="2"/>
  <c r="O24" i="18"/>
  <c r="L24" i="18"/>
  <c r="L87" i="18"/>
  <c r="L83" i="18"/>
  <c r="O117" i="18"/>
  <c r="O82" i="18"/>
  <c r="L30" i="18"/>
  <c r="M89" i="18"/>
  <c r="P89" i="18"/>
  <c r="J89" i="18"/>
  <c r="S23" i="26"/>
  <c r="U38" i="26"/>
  <c r="AA38" i="26"/>
  <c r="M18" i="18"/>
  <c r="P18" i="18"/>
  <c r="M17" i="18"/>
  <c r="P17" i="18"/>
  <c r="S26" i="26"/>
  <c r="X38" i="26"/>
  <c r="M25" i="18"/>
  <c r="P25" i="18"/>
  <c r="M82" i="18"/>
  <c r="P82" i="18"/>
  <c r="C30" i="26"/>
  <c r="L38" i="26"/>
  <c r="V46" i="14"/>
  <c r="M19" i="18"/>
  <c r="P19" i="18"/>
  <c r="M84" i="18"/>
  <c r="P84" i="18"/>
  <c r="F38" i="26"/>
  <c r="C24" i="26"/>
  <c r="J83" i="18"/>
  <c r="V56" i="26"/>
  <c r="J25" i="18"/>
  <c r="J17" i="18"/>
  <c r="V54" i="26"/>
  <c r="W38" i="26"/>
  <c r="S25" i="26"/>
  <c r="M86" i="18"/>
  <c r="P86" i="18"/>
  <c r="J86" i="18"/>
  <c r="J24" i="18"/>
  <c r="F4" i="2"/>
  <c r="M85" i="18"/>
  <c r="P85" i="18"/>
  <c r="M87" i="18"/>
  <c r="P87" i="18"/>
  <c r="F54" i="26"/>
  <c r="J87" i="18"/>
  <c r="J18" i="18"/>
  <c r="M20" i="18"/>
  <c r="P20" i="18"/>
  <c r="J20" i="18"/>
  <c r="M88" i="18"/>
  <c r="P88" i="18"/>
  <c r="M23" i="18"/>
  <c r="P23" i="18"/>
  <c r="F53" i="26"/>
  <c r="S24" i="26"/>
  <c r="V38" i="26"/>
  <c r="S28" i="26"/>
  <c r="Z38" i="26"/>
  <c r="M38" i="26"/>
  <c r="M21" i="18"/>
  <c r="P21" i="18"/>
  <c r="J21" i="18"/>
  <c r="M22" i="18"/>
  <c r="P22" i="18"/>
  <c r="J22" i="18"/>
  <c r="M90" i="18"/>
  <c r="P90" i="18"/>
  <c r="J90" i="18"/>
  <c r="F47" i="26"/>
  <c r="J82" i="18"/>
  <c r="S27" i="26"/>
  <c r="Y38" i="26"/>
  <c r="M83" i="18"/>
  <c r="P83" i="18"/>
  <c r="M91" i="18"/>
  <c r="P91" i="18"/>
  <c r="M24" i="18"/>
  <c r="P24" i="18"/>
  <c r="I26" i="18"/>
  <c r="V52" i="14"/>
  <c r="F5" i="2" s="1"/>
  <c r="J88" i="18"/>
  <c r="V62" i="14"/>
  <c r="L13" i="26"/>
  <c r="K19" i="26"/>
  <c r="K18" i="26"/>
  <c r="K17" i="26"/>
  <c r="K41" i="26" s="1"/>
  <c r="K16" i="26"/>
  <c r="K40" i="26" s="1"/>
  <c r="K15" i="26"/>
  <c r="K39" i="26" s="1"/>
  <c r="K14" i="26"/>
  <c r="K20" i="26"/>
  <c r="J18" i="26"/>
  <c r="J42" i="26" s="1"/>
  <c r="F60" i="26" s="1"/>
  <c r="J17" i="26"/>
  <c r="J41" i="26" s="1"/>
  <c r="J16" i="26"/>
  <c r="J40" i="26" s="1"/>
  <c r="J15" i="26"/>
  <c r="J39" i="26" s="1"/>
  <c r="J14" i="26"/>
  <c r="J20" i="26"/>
  <c r="J13" i="26"/>
  <c r="I19" i="26"/>
  <c r="I43" i="26" s="1"/>
  <c r="I18" i="26"/>
  <c r="I42" i="26" s="1"/>
  <c r="I17" i="26"/>
  <c r="I41" i="26" s="1"/>
  <c r="I16" i="26"/>
  <c r="I40" i="26" s="1"/>
  <c r="I15" i="26"/>
  <c r="I39" i="26" s="1"/>
  <c r="I14" i="26"/>
  <c r="I20" i="26"/>
  <c r="I13" i="26"/>
  <c r="H19" i="26"/>
  <c r="H43" i="26" s="1"/>
  <c r="H18" i="26"/>
  <c r="H42" i="26" s="1"/>
  <c r="H17" i="26"/>
  <c r="H41" i="26" s="1"/>
  <c r="H16" i="26"/>
  <c r="H40" i="26" s="1"/>
  <c r="H15" i="26"/>
  <c r="H39" i="26" s="1"/>
  <c r="H14" i="26"/>
  <c r="H20" i="26"/>
  <c r="H13" i="26"/>
  <c r="G19" i="26"/>
  <c r="G43" i="26" s="1"/>
  <c r="G18" i="26"/>
  <c r="G42" i="26" s="1"/>
  <c r="G17" i="26"/>
  <c r="G41" i="26" s="1"/>
  <c r="G16" i="26"/>
  <c r="G40" i="26" s="1"/>
  <c r="G15" i="26"/>
  <c r="G39" i="26" s="1"/>
  <c r="G14" i="26"/>
  <c r="G20" i="26"/>
  <c r="F13" i="26"/>
  <c r="E19" i="26"/>
  <c r="E43" i="26" s="1"/>
  <c r="E18" i="26"/>
  <c r="E42" i="26" s="1"/>
  <c r="E17" i="26"/>
  <c r="E41" i="26" s="1"/>
  <c r="E16" i="26"/>
  <c r="E40" i="26" s="1"/>
  <c r="F46" i="26" s="1"/>
  <c r="G46" i="26" s="1"/>
  <c r="E15" i="26"/>
  <c r="E39" i="26" s="1"/>
  <c r="E14" i="26"/>
  <c r="E20" i="26"/>
  <c r="E13" i="26"/>
  <c r="D19" i="26"/>
  <c r="D18" i="26"/>
  <c r="D17" i="26"/>
  <c r="D16" i="26"/>
  <c r="D15" i="26"/>
  <c r="D14" i="26"/>
  <c r="D20" i="26"/>
  <c r="H9" i="17"/>
  <c r="H8" i="17"/>
  <c r="H7" i="17"/>
  <c r="H6" i="17"/>
  <c r="H5" i="17"/>
  <c r="H4" i="17"/>
  <c r="F8" i="17"/>
  <c r="F9" i="17"/>
  <c r="F10" i="17"/>
  <c r="F11" i="17"/>
  <c r="F4" i="17"/>
  <c r="F5" i="17"/>
  <c r="F6" i="17"/>
  <c r="F7" i="17"/>
  <c r="E21" i="15"/>
  <c r="F21" i="15"/>
  <c r="G21" i="15"/>
  <c r="H21" i="15"/>
  <c r="I21" i="15"/>
  <c r="J21" i="15"/>
  <c r="K21" i="15"/>
  <c r="L21" i="15"/>
  <c r="M21" i="15"/>
  <c r="N21" i="15"/>
  <c r="O21" i="15"/>
  <c r="E22" i="15"/>
  <c r="F22" i="15"/>
  <c r="G22" i="15"/>
  <c r="H22" i="15"/>
  <c r="I22" i="15"/>
  <c r="J22" i="15"/>
  <c r="K22" i="15"/>
  <c r="L22" i="15"/>
  <c r="M22" i="15"/>
  <c r="N22" i="15"/>
  <c r="O22" i="15"/>
  <c r="E23" i="15"/>
  <c r="E47" i="15" s="1"/>
  <c r="F23" i="15"/>
  <c r="F47" i="15" s="1"/>
  <c r="G23" i="15"/>
  <c r="G47" i="15" s="1"/>
  <c r="H23" i="15"/>
  <c r="H47" i="15" s="1"/>
  <c r="I23" i="15"/>
  <c r="I47" i="15" s="1"/>
  <c r="J23" i="15"/>
  <c r="J47" i="15" s="1"/>
  <c r="K23" i="15"/>
  <c r="K47" i="15" s="1"/>
  <c r="L23" i="15"/>
  <c r="L47" i="15" s="1"/>
  <c r="M23" i="15"/>
  <c r="M47" i="15" s="1"/>
  <c r="N23" i="15"/>
  <c r="O23" i="15"/>
  <c r="E24" i="15"/>
  <c r="E48" i="15" s="1"/>
  <c r="F24" i="15"/>
  <c r="F48" i="15" s="1"/>
  <c r="G24" i="15"/>
  <c r="G48" i="15" s="1"/>
  <c r="H24" i="15"/>
  <c r="H48" i="15" s="1"/>
  <c r="I24" i="15"/>
  <c r="I48" i="15" s="1"/>
  <c r="J24" i="15"/>
  <c r="J48" i="15" s="1"/>
  <c r="K24" i="15"/>
  <c r="K48" i="15" s="1"/>
  <c r="L24" i="15"/>
  <c r="L48" i="15" s="1"/>
  <c r="M24" i="15"/>
  <c r="M48" i="15" s="1"/>
  <c r="N24" i="15"/>
  <c r="O24" i="15"/>
  <c r="E25" i="15"/>
  <c r="E49" i="15" s="1"/>
  <c r="F25" i="15"/>
  <c r="F49" i="15" s="1"/>
  <c r="G25" i="15"/>
  <c r="G49" i="15" s="1"/>
  <c r="H25" i="15"/>
  <c r="H49" i="15" s="1"/>
  <c r="I25" i="15"/>
  <c r="I49" i="15" s="1"/>
  <c r="J25" i="15"/>
  <c r="J49" i="15" s="1"/>
  <c r="K25" i="15"/>
  <c r="K49" i="15" s="1"/>
  <c r="L25" i="15"/>
  <c r="L49" i="15" s="1"/>
  <c r="M25" i="15"/>
  <c r="M49" i="15" s="1"/>
  <c r="N25" i="15"/>
  <c r="O25" i="15"/>
  <c r="E26" i="15"/>
  <c r="E50" i="15" s="1"/>
  <c r="F26" i="15"/>
  <c r="F50" i="15" s="1"/>
  <c r="G26" i="15"/>
  <c r="G50" i="15" s="1"/>
  <c r="H26" i="15"/>
  <c r="H50" i="15" s="1"/>
  <c r="I26" i="15"/>
  <c r="I50" i="15" s="1"/>
  <c r="J26" i="15"/>
  <c r="J50" i="15" s="1"/>
  <c r="K26" i="15"/>
  <c r="K50" i="15" s="1"/>
  <c r="L26" i="15"/>
  <c r="L50" i="15" s="1"/>
  <c r="M26" i="15"/>
  <c r="M50" i="15" s="1"/>
  <c r="N26" i="15"/>
  <c r="O26" i="15"/>
  <c r="E27" i="15"/>
  <c r="F27" i="15"/>
  <c r="F51" i="15" s="1"/>
  <c r="G27" i="15"/>
  <c r="G51" i="15" s="1"/>
  <c r="H27" i="15"/>
  <c r="H51" i="15" s="1"/>
  <c r="I27" i="15"/>
  <c r="I51" i="15" s="1"/>
  <c r="J27" i="15"/>
  <c r="J51" i="15" s="1"/>
  <c r="K27" i="15"/>
  <c r="K51" i="15" s="1"/>
  <c r="L27" i="15"/>
  <c r="L51" i="15" s="1"/>
  <c r="M27" i="15"/>
  <c r="M51" i="15" s="1"/>
  <c r="N27" i="15"/>
  <c r="O27" i="15"/>
  <c r="E28" i="15"/>
  <c r="F28" i="15"/>
  <c r="G28" i="15"/>
  <c r="H28" i="15"/>
  <c r="H52" i="15" s="1"/>
  <c r="I28" i="15"/>
  <c r="I52" i="15" s="1"/>
  <c r="J28" i="15"/>
  <c r="J52" i="15" s="1"/>
  <c r="K28" i="15"/>
  <c r="K52" i="15" s="1"/>
  <c r="L28" i="15"/>
  <c r="L52" i="15" s="1"/>
  <c r="M28" i="15"/>
  <c r="M52" i="15" s="1"/>
  <c r="N28" i="15"/>
  <c r="O28" i="15"/>
  <c r="D22" i="15"/>
  <c r="D23" i="15"/>
  <c r="D47" i="15" s="1"/>
  <c r="D24" i="15"/>
  <c r="D48" i="15" s="1"/>
  <c r="D25" i="15"/>
  <c r="D49" i="15" s="1"/>
  <c r="D26" i="15"/>
  <c r="D50" i="15" s="1"/>
  <c r="D27" i="15"/>
  <c r="D28" i="15"/>
  <c r="D21" i="15"/>
  <c r="I11" i="14"/>
  <c r="J14" i="14" s="1"/>
  <c r="J38" i="14" s="1"/>
  <c r="F55" i="26" l="1"/>
  <c r="G55" i="26" s="1"/>
  <c r="CQ5" i="17"/>
  <c r="V8" i="2"/>
  <c r="CR5" i="17"/>
  <c r="BM5" i="17"/>
  <c r="G47" i="26"/>
  <c r="N5" i="18" s="1"/>
  <c r="W48" i="26"/>
  <c r="N78" i="18" s="1"/>
  <c r="G54" i="26"/>
  <c r="N96" i="18" s="1"/>
  <c r="G60" i="26"/>
  <c r="N75" i="18" s="1"/>
  <c r="G53" i="26"/>
  <c r="N95" i="18" s="1"/>
  <c r="W47" i="26"/>
  <c r="N77" i="18" s="1"/>
  <c r="W56" i="26"/>
  <c r="N54" i="18" s="1"/>
  <c r="G56" i="26"/>
  <c r="N71" i="18" s="1"/>
  <c r="W52" i="26"/>
  <c r="N50" i="18" s="1"/>
  <c r="J5" i="17"/>
  <c r="K5" i="17"/>
  <c r="L5" i="17"/>
  <c r="W54" i="26"/>
  <c r="N52" i="18" s="1"/>
  <c r="X141" i="18"/>
  <c r="W55" i="26"/>
  <c r="N53" i="18" s="1"/>
  <c r="F58" i="26"/>
  <c r="W51" i="26"/>
  <c r="N81" i="18" s="1"/>
  <c r="W50" i="26"/>
  <c r="N80" i="18" s="1"/>
  <c r="CP5" i="17"/>
  <c r="F57" i="15"/>
  <c r="K8" i="18" s="1"/>
  <c r="AR5" i="17"/>
  <c r="F75" i="15"/>
  <c r="F77" i="15"/>
  <c r="K52" i="18" s="1"/>
  <c r="F73" i="15"/>
  <c r="F68" i="15"/>
  <c r="F80" i="15"/>
  <c r="K55" i="18" s="1"/>
  <c r="R147" i="18"/>
  <c r="U147" i="18"/>
  <c r="F74" i="15"/>
  <c r="K81" i="18" s="1"/>
  <c r="F54" i="15"/>
  <c r="F63" i="15"/>
  <c r="K70" i="18" s="1"/>
  <c r="U149" i="18"/>
  <c r="U151" i="18"/>
  <c r="Y145" i="18"/>
  <c r="R151" i="18"/>
  <c r="S149" i="18"/>
  <c r="X149" i="18"/>
  <c r="R149" i="18"/>
  <c r="V149" i="18"/>
  <c r="S145" i="18"/>
  <c r="R145" i="18"/>
  <c r="V145" i="18"/>
  <c r="U145" i="18"/>
  <c r="X145" i="18"/>
  <c r="Y149" i="18"/>
  <c r="Y141" i="18"/>
  <c r="I141" i="18"/>
  <c r="AQ5" i="17"/>
  <c r="I4" i="2"/>
  <c r="L4" i="2"/>
  <c r="AZ5" i="17"/>
  <c r="AS5" i="17"/>
  <c r="F65" i="15"/>
  <c r="K72" i="18" s="1"/>
  <c r="F78" i="15"/>
  <c r="K53" i="18" s="1"/>
  <c r="F71" i="15"/>
  <c r="K78" i="18" s="1"/>
  <c r="F60" i="15"/>
  <c r="K94" i="18" s="1"/>
  <c r="F59" i="15"/>
  <c r="K93" i="18" s="1"/>
  <c r="BA5" i="17"/>
  <c r="R4" i="2"/>
  <c r="BB5" i="17"/>
  <c r="F66" i="15"/>
  <c r="K73" i="18" s="1"/>
  <c r="F62" i="15"/>
  <c r="K96" i="18" s="1"/>
  <c r="AJ5" i="17"/>
  <c r="F72" i="15"/>
  <c r="K79" i="18" s="1"/>
  <c r="F67" i="15"/>
  <c r="K74" i="18" s="1"/>
  <c r="F55" i="15"/>
  <c r="K5" i="18" s="1"/>
  <c r="F70" i="15"/>
  <c r="K77" i="18" s="1"/>
  <c r="F57" i="26"/>
  <c r="F59" i="26"/>
  <c r="F79" i="15"/>
  <c r="K54" i="18" s="1"/>
  <c r="F61" i="15"/>
  <c r="K95" i="18" s="1"/>
  <c r="F64" i="15"/>
  <c r="K71" i="18" s="1"/>
  <c r="F69" i="15"/>
  <c r="K76" i="18" s="1"/>
  <c r="F76" i="15"/>
  <c r="K51" i="18" s="1"/>
  <c r="F58" i="15"/>
  <c r="C34" i="15"/>
  <c r="O4" i="2"/>
  <c r="F56" i="15"/>
  <c r="K6" i="18" s="1"/>
  <c r="P6" i="17"/>
  <c r="R6" i="17"/>
  <c r="Q6" i="17"/>
  <c r="BA11" i="17"/>
  <c r="AZ11" i="17"/>
  <c r="BB11" i="17"/>
  <c r="AR11" i="17"/>
  <c r="AQ11" i="17"/>
  <c r="AS11" i="17"/>
  <c r="AA11" i="17"/>
  <c r="Z11" i="17"/>
  <c r="Y11" i="17"/>
  <c r="AJ11" i="17"/>
  <c r="AH11" i="17"/>
  <c r="AI11" i="17"/>
  <c r="BM9" i="17"/>
  <c r="BL9" i="17"/>
  <c r="AI5" i="17"/>
  <c r="AH5" i="17"/>
  <c r="AS9" i="17"/>
  <c r="BK9" i="17"/>
  <c r="BJ9" i="17"/>
  <c r="U8" i="2"/>
  <c r="BI9" i="17"/>
  <c r="BD9" i="17"/>
  <c r="BC9" i="17"/>
  <c r="S8" i="2"/>
  <c r="BE9" i="17"/>
  <c r="O10" i="2"/>
  <c r="R10" i="2"/>
  <c r="AQ9" i="17"/>
  <c r="O8" i="2"/>
  <c r="AR9" i="17"/>
  <c r="BJ5" i="17"/>
  <c r="U4" i="2"/>
  <c r="BI5" i="17"/>
  <c r="BK5" i="17"/>
  <c r="AZ9" i="17"/>
  <c r="R8" i="2"/>
  <c r="BB9" i="17"/>
  <c r="BA9" i="17"/>
  <c r="BN5" i="17"/>
  <c r="U26" i="18"/>
  <c r="U143" i="18" s="1"/>
  <c r="R26" i="18"/>
  <c r="BL5" i="17"/>
  <c r="AV5" i="17"/>
  <c r="AT5" i="17"/>
  <c r="AU5" i="17"/>
  <c r="P4" i="2"/>
  <c r="V4" i="2"/>
  <c r="BC5" i="17"/>
  <c r="BE5" i="17"/>
  <c r="S4" i="2"/>
  <c r="BD5" i="17"/>
  <c r="AM5" i="17"/>
  <c r="AK5" i="17"/>
  <c r="AL5" i="17"/>
  <c r="BN9" i="17"/>
  <c r="AT9" i="17"/>
  <c r="AU9" i="17"/>
  <c r="P8" i="2"/>
  <c r="AV9" i="17"/>
  <c r="T5" i="17"/>
  <c r="U5" i="17"/>
  <c r="S5" i="17"/>
  <c r="AA5" i="17"/>
  <c r="AD5" i="17"/>
  <c r="AC5" i="17"/>
  <c r="AB5" i="17"/>
  <c r="Y5" i="17"/>
  <c r="Z5" i="17"/>
  <c r="I10" i="2"/>
  <c r="L10" i="2"/>
  <c r="J4" i="2"/>
  <c r="O26" i="18"/>
  <c r="M4" i="2"/>
  <c r="L26" i="18"/>
  <c r="K50" i="18"/>
  <c r="K75" i="18"/>
  <c r="E38" i="26"/>
  <c r="C23" i="26"/>
  <c r="H38" i="26"/>
  <c r="C26" i="26"/>
  <c r="J38" i="26"/>
  <c r="C28" i="26"/>
  <c r="K80" i="18"/>
  <c r="N3" i="18"/>
  <c r="F49" i="26"/>
  <c r="F51" i="26"/>
  <c r="G51" i="26" s="1"/>
  <c r="C25" i="26"/>
  <c r="G38" i="26"/>
  <c r="I38" i="26"/>
  <c r="C27" i="26"/>
  <c r="F52" i="26"/>
  <c r="F48" i="26"/>
  <c r="F50" i="26"/>
  <c r="G50" i="26" s="1"/>
  <c r="N70" i="18"/>
  <c r="G4" i="2"/>
  <c r="C29" i="26"/>
  <c r="K38" i="26"/>
  <c r="F14" i="14"/>
  <c r="F38" i="14" s="1"/>
  <c r="N13" i="14"/>
  <c r="L13" i="14"/>
  <c r="L37" i="14" s="1"/>
  <c r="I13" i="14"/>
  <c r="I37" i="14" s="1"/>
  <c r="M15" i="14"/>
  <c r="G14" i="14"/>
  <c r="G38" i="14" s="1"/>
  <c r="E14" i="14"/>
  <c r="E38" i="14" s="1"/>
  <c r="G17" i="14"/>
  <c r="G41" i="14" s="1"/>
  <c r="J13" i="14"/>
  <c r="J37" i="14" s="1"/>
  <c r="O16" i="14"/>
  <c r="G20" i="14"/>
  <c r="G44" i="14" s="1"/>
  <c r="F20" i="14"/>
  <c r="F44" i="14" s="1"/>
  <c r="K15" i="14"/>
  <c r="K39" i="14" s="1"/>
  <c r="M18" i="14"/>
  <c r="K18" i="14"/>
  <c r="K42" i="14" s="1"/>
  <c r="I18" i="14"/>
  <c r="I42" i="14" s="1"/>
  <c r="H18" i="14"/>
  <c r="H42" i="14" s="1"/>
  <c r="F17" i="14"/>
  <c r="F41" i="14" s="1"/>
  <c r="E17" i="14"/>
  <c r="E41" i="14" s="1"/>
  <c r="E20" i="14"/>
  <c r="E44" i="14" s="1"/>
  <c r="I15" i="14"/>
  <c r="I39" i="14" s="1"/>
  <c r="O19" i="14"/>
  <c r="H15" i="14"/>
  <c r="H39" i="14" s="1"/>
  <c r="M19" i="14"/>
  <c r="K19" i="14"/>
  <c r="K43" i="14" s="1"/>
  <c r="K16" i="14"/>
  <c r="K40" i="14" s="1"/>
  <c r="O20" i="14"/>
  <c r="H19" i="14"/>
  <c r="H43" i="14" s="1"/>
  <c r="O17" i="14"/>
  <c r="O14" i="14"/>
  <c r="G16" i="14"/>
  <c r="G40" i="14" s="1"/>
  <c r="M14" i="14"/>
  <c r="H13" i="14"/>
  <c r="H37" i="14" s="1"/>
  <c r="M16" i="14"/>
  <c r="G13" i="14"/>
  <c r="G37" i="14" s="1"/>
  <c r="F15" i="14"/>
  <c r="F39" i="14" s="1"/>
  <c r="F13" i="14"/>
  <c r="F37" i="14" s="1"/>
  <c r="I19" i="14"/>
  <c r="I43" i="14" s="1"/>
  <c r="E18" i="14"/>
  <c r="E42" i="14" s="1"/>
  <c r="I16" i="14"/>
  <c r="I40" i="14" s="1"/>
  <c r="E15" i="14"/>
  <c r="E39" i="14" s="1"/>
  <c r="H16" i="14"/>
  <c r="H40" i="14" s="1"/>
  <c r="M20" i="14"/>
  <c r="G19" i="14"/>
  <c r="G43" i="14" s="1"/>
  <c r="M17" i="14"/>
  <c r="K20" i="14"/>
  <c r="K44" i="14" s="1"/>
  <c r="F19" i="14"/>
  <c r="F43" i="14" s="1"/>
  <c r="K17" i="14"/>
  <c r="K41" i="14" s="1"/>
  <c r="F16" i="14"/>
  <c r="F40" i="14" s="1"/>
  <c r="K14" i="14"/>
  <c r="K38" i="14" s="1"/>
  <c r="F65" i="14" s="1"/>
  <c r="I80" i="18" s="1"/>
  <c r="I20" i="14"/>
  <c r="I44" i="14" s="1"/>
  <c r="E19" i="14"/>
  <c r="E43" i="14" s="1"/>
  <c r="I17" i="14"/>
  <c r="I41" i="14" s="1"/>
  <c r="E16" i="14"/>
  <c r="E40" i="14" s="1"/>
  <c r="I14" i="14"/>
  <c r="I38" i="14" s="1"/>
  <c r="G18" i="14"/>
  <c r="G42" i="14" s="1"/>
  <c r="G15" i="14"/>
  <c r="G39" i="14" s="1"/>
  <c r="F18" i="14"/>
  <c r="F42" i="14" s="1"/>
  <c r="D13" i="14"/>
  <c r="D37" i="14" s="1"/>
  <c r="H20" i="14"/>
  <c r="H44" i="14" s="1"/>
  <c r="O18" i="14"/>
  <c r="H17" i="14"/>
  <c r="H41" i="14" s="1"/>
  <c r="O15" i="14"/>
  <c r="H14" i="14"/>
  <c r="H38" i="14" s="1"/>
  <c r="E13" i="14"/>
  <c r="E37" i="14" s="1"/>
  <c r="D20" i="14"/>
  <c r="D44" i="14" s="1"/>
  <c r="D19" i="14"/>
  <c r="D43" i="14" s="1"/>
  <c r="D18" i="14"/>
  <c r="D17" i="14"/>
  <c r="D16" i="14"/>
  <c r="D15" i="14"/>
  <c r="D39" i="14" s="1"/>
  <c r="D14" i="14"/>
  <c r="O13" i="14"/>
  <c r="N20" i="14"/>
  <c r="N19" i="14"/>
  <c r="N18" i="14"/>
  <c r="N17" i="14"/>
  <c r="N16" i="14"/>
  <c r="N15" i="14"/>
  <c r="N14" i="14"/>
  <c r="M13" i="14"/>
  <c r="M37" i="14" s="1"/>
  <c r="L20" i="14"/>
  <c r="L19" i="14"/>
  <c r="L18" i="14"/>
  <c r="L17" i="14"/>
  <c r="L16" i="14"/>
  <c r="L15" i="14"/>
  <c r="L14" i="14"/>
  <c r="K13" i="14"/>
  <c r="K37" i="14" s="1"/>
  <c r="J20" i="14"/>
  <c r="J44" i="14" s="1"/>
  <c r="J19" i="14"/>
  <c r="J43" i="14" s="1"/>
  <c r="J18" i="14"/>
  <c r="J42" i="14" s="1"/>
  <c r="J17" i="14"/>
  <c r="J41" i="14" s="1"/>
  <c r="J16" i="14"/>
  <c r="J40" i="14" s="1"/>
  <c r="J15" i="14"/>
  <c r="J39" i="14" s="1"/>
  <c r="N151" i="18" l="1"/>
  <c r="X52" i="26"/>
  <c r="K6" i="2"/>
  <c r="AE7" i="17"/>
  <c r="AG7" i="17"/>
  <c r="K8" i="2"/>
  <c r="N149" i="18"/>
  <c r="AG9" i="17"/>
  <c r="AF9" i="17"/>
  <c r="AE9" i="17"/>
  <c r="F47" i="14"/>
  <c r="I5" i="18" s="1"/>
  <c r="L5" i="18" s="1"/>
  <c r="G48" i="26"/>
  <c r="N6" i="18" s="1"/>
  <c r="N143" i="18"/>
  <c r="G52" i="26"/>
  <c r="N94" i="18" s="1"/>
  <c r="X46" i="26"/>
  <c r="O80" i="18"/>
  <c r="AF7" i="17"/>
  <c r="G58" i="26"/>
  <c r="N73" i="18" s="1"/>
  <c r="G49" i="26"/>
  <c r="N8" i="18" s="1"/>
  <c r="G59" i="26"/>
  <c r="N74" i="18" s="1"/>
  <c r="G57" i="26"/>
  <c r="F61" i="14"/>
  <c r="I76" i="18" s="1"/>
  <c r="F70" i="14"/>
  <c r="I53" i="18" s="1"/>
  <c r="O53" i="18" s="1"/>
  <c r="F53" i="14"/>
  <c r="I95" i="18" s="1"/>
  <c r="L95" i="18" s="1"/>
  <c r="F59" i="14"/>
  <c r="I74" i="18" s="1"/>
  <c r="R150" i="18"/>
  <c r="R143" i="18"/>
  <c r="K143" i="18"/>
  <c r="F66" i="14"/>
  <c r="I81" i="18" s="1"/>
  <c r="O81" i="18" s="1"/>
  <c r="F54" i="14"/>
  <c r="I96" i="18" s="1"/>
  <c r="O96" i="18" s="1"/>
  <c r="O141" i="18"/>
  <c r="K144" i="18"/>
  <c r="U150" i="18"/>
  <c r="U141" i="18"/>
  <c r="R141" i="18"/>
  <c r="K151" i="18"/>
  <c r="K149" i="18"/>
  <c r="L141" i="18"/>
  <c r="F50" i="14"/>
  <c r="I92" i="18" s="1"/>
  <c r="H69" i="15"/>
  <c r="G69" i="15"/>
  <c r="F52" i="14"/>
  <c r="I94" i="18" s="1"/>
  <c r="L94" i="18" s="1"/>
  <c r="BB6" i="17"/>
  <c r="BA6" i="17"/>
  <c r="AZ6" i="17"/>
  <c r="AS6" i="17"/>
  <c r="AR6" i="17"/>
  <c r="AQ6" i="17"/>
  <c r="W7" i="17"/>
  <c r="X7" i="17"/>
  <c r="V7" i="17"/>
  <c r="Y6" i="17"/>
  <c r="AA6" i="17"/>
  <c r="Z6" i="17"/>
  <c r="AH6" i="17"/>
  <c r="AI6" i="17"/>
  <c r="AJ6" i="17"/>
  <c r="O5" i="2"/>
  <c r="R5" i="2"/>
  <c r="X9" i="17"/>
  <c r="V9" i="17"/>
  <c r="W9" i="17"/>
  <c r="X8" i="17"/>
  <c r="W8" i="17"/>
  <c r="V8" i="17"/>
  <c r="L80" i="18"/>
  <c r="H8" i="2"/>
  <c r="H7" i="2"/>
  <c r="L5" i="2"/>
  <c r="H6" i="2"/>
  <c r="I5" i="2"/>
  <c r="F46" i="14"/>
  <c r="I3" i="18" s="1"/>
  <c r="F72" i="14"/>
  <c r="I55" i="18" s="1"/>
  <c r="O55" i="18" s="1"/>
  <c r="N92" i="18"/>
  <c r="H50" i="26"/>
  <c r="F55" i="14"/>
  <c r="I70" i="18" s="1"/>
  <c r="F71" i="14"/>
  <c r="I54" i="18" s="1"/>
  <c r="G63" i="15"/>
  <c r="K92" i="18"/>
  <c r="H58" i="15"/>
  <c r="G58" i="15"/>
  <c r="N93" i="18"/>
  <c r="H63" i="15"/>
  <c r="G75" i="15"/>
  <c r="H54" i="15"/>
  <c r="K3" i="18"/>
  <c r="G54" i="15"/>
  <c r="H75" i="15"/>
  <c r="F48" i="14"/>
  <c r="I6" i="18" s="1"/>
  <c r="L6" i="18" s="1"/>
  <c r="F57" i="14"/>
  <c r="I72" i="18" s="1"/>
  <c r="F62" i="14"/>
  <c r="I77" i="18" s="1"/>
  <c r="O77" i="18" s="1"/>
  <c r="F49" i="14"/>
  <c r="I8" i="18" s="1"/>
  <c r="L8" i="18" s="1"/>
  <c r="F63" i="14"/>
  <c r="I78" i="18" s="1"/>
  <c r="O78" i="18" s="1"/>
  <c r="F51" i="14"/>
  <c r="I93" i="18" s="1"/>
  <c r="L93" i="18" s="1"/>
  <c r="F58" i="14"/>
  <c r="I73" i="18" s="1"/>
  <c r="F60" i="14"/>
  <c r="I75" i="18" s="1"/>
  <c r="O75" i="18" s="1"/>
  <c r="F67" i="14"/>
  <c r="F68" i="14"/>
  <c r="I51" i="18" s="1"/>
  <c r="F64" i="14"/>
  <c r="I79" i="18" s="1"/>
  <c r="F56" i="14"/>
  <c r="I71" i="18" s="1"/>
  <c r="O71" i="18" s="1"/>
  <c r="F69" i="14"/>
  <c r="I52" i="18" s="1"/>
  <c r="O52" i="18" s="1"/>
  <c r="C24" i="14"/>
  <c r="C28" i="14"/>
  <c r="D41" i="14"/>
  <c r="C29" i="14"/>
  <c r="D42" i="14"/>
  <c r="C27" i="14"/>
  <c r="D40" i="14"/>
  <c r="C25" i="14"/>
  <c r="D38" i="14"/>
  <c r="H55" i="26" l="1"/>
  <c r="AF4" i="17"/>
  <c r="N72" i="18"/>
  <c r="AF8" i="17" s="1"/>
  <c r="O95" i="18"/>
  <c r="N140" i="18"/>
  <c r="L53" i="18"/>
  <c r="AG4" i="17"/>
  <c r="O73" i="18"/>
  <c r="H46" i="26"/>
  <c r="O5" i="18"/>
  <c r="N142" i="18"/>
  <c r="N144" i="18"/>
  <c r="O74" i="18"/>
  <c r="AE4" i="17"/>
  <c r="L81" i="18"/>
  <c r="L96" i="18"/>
  <c r="L74" i="18"/>
  <c r="H71" i="15"/>
  <c r="I147" i="18"/>
  <c r="K150" i="18"/>
  <c r="K147" i="18"/>
  <c r="N147" i="18"/>
  <c r="I150" i="18"/>
  <c r="N150" i="18"/>
  <c r="N145" i="18"/>
  <c r="K140" i="18"/>
  <c r="K142" i="18"/>
  <c r="I145" i="18"/>
  <c r="I149" i="18"/>
  <c r="I144" i="18"/>
  <c r="I148" i="18"/>
  <c r="I146" i="18"/>
  <c r="K145" i="18"/>
  <c r="K148" i="18"/>
  <c r="I140" i="18"/>
  <c r="I142" i="18"/>
  <c r="K146" i="18"/>
  <c r="R10" i="17"/>
  <c r="Q10" i="17"/>
  <c r="P10" i="17"/>
  <c r="R4" i="17"/>
  <c r="P4" i="17"/>
  <c r="Q4" i="17"/>
  <c r="H70" i="15"/>
  <c r="O94" i="18"/>
  <c r="W4" i="17"/>
  <c r="X4" i="17"/>
  <c r="V4" i="17"/>
  <c r="W10" i="17"/>
  <c r="X10" i="17"/>
  <c r="V10" i="17"/>
  <c r="AE10" i="17"/>
  <c r="AG10" i="17"/>
  <c r="AF10" i="17"/>
  <c r="H60" i="15"/>
  <c r="L76" i="18"/>
  <c r="R9" i="17"/>
  <c r="Q9" i="17"/>
  <c r="P9" i="17"/>
  <c r="O6" i="18"/>
  <c r="R8" i="17"/>
  <c r="P8" i="17"/>
  <c r="Q8" i="17"/>
  <c r="O8" i="18"/>
  <c r="O3" i="18"/>
  <c r="O93" i="18"/>
  <c r="L77" i="18"/>
  <c r="L52" i="18"/>
  <c r="L92" i="18"/>
  <c r="H9" i="2"/>
  <c r="L75" i="18"/>
  <c r="K3" i="2"/>
  <c r="L72" i="18"/>
  <c r="L73" i="18"/>
  <c r="O70" i="18"/>
  <c r="H3" i="2"/>
  <c r="L3" i="18"/>
  <c r="O76" i="18"/>
  <c r="O79" i="18"/>
  <c r="L79" i="18"/>
  <c r="L71" i="18"/>
  <c r="L54" i="18"/>
  <c r="O54" i="18"/>
  <c r="O51" i="18"/>
  <c r="L51" i="18"/>
  <c r="O92" i="18"/>
  <c r="K9" i="2"/>
  <c r="L70" i="18"/>
  <c r="L55" i="18"/>
  <c r="L78" i="18"/>
  <c r="H65" i="15"/>
  <c r="H77" i="15"/>
  <c r="H76" i="15"/>
  <c r="H64" i="15"/>
  <c r="F8" i="2"/>
  <c r="H46" i="14"/>
  <c r="H59" i="15"/>
  <c r="H56" i="15"/>
  <c r="H55" i="15"/>
  <c r="H50" i="14"/>
  <c r="H61" i="14"/>
  <c r="G55" i="14"/>
  <c r="G61" i="14"/>
  <c r="G50" i="14"/>
  <c r="G67" i="14"/>
  <c r="H67" i="14"/>
  <c r="I50" i="18"/>
  <c r="H55" i="14"/>
  <c r="G46" i="14"/>
  <c r="K27" i="8"/>
  <c r="K28" i="8"/>
  <c r="K29" i="8"/>
  <c r="K30" i="8"/>
  <c r="K26" i="8"/>
  <c r="L26" i="8" s="1"/>
  <c r="AG8" i="17" l="1"/>
  <c r="N148" i="18"/>
  <c r="O72" i="18"/>
  <c r="O146" i="18" s="1"/>
  <c r="N146" i="18"/>
  <c r="K7" i="2"/>
  <c r="AE8" i="17"/>
  <c r="H69" i="14"/>
  <c r="L150" i="18"/>
  <c r="L147" i="18"/>
  <c r="I151" i="18"/>
  <c r="I143" i="18"/>
  <c r="O147" i="18"/>
  <c r="O145" i="18"/>
  <c r="O149" i="18"/>
  <c r="L140" i="18"/>
  <c r="L142" i="18"/>
  <c r="L145" i="18"/>
  <c r="L149" i="18"/>
  <c r="O142" i="18"/>
  <c r="O140" i="18"/>
  <c r="O150" i="18"/>
  <c r="L146" i="18"/>
  <c r="L144" i="18"/>
  <c r="L148" i="18"/>
  <c r="AJ4" i="17"/>
  <c r="AI4" i="17"/>
  <c r="AH4" i="17"/>
  <c r="Y4" i="17"/>
  <c r="Z4" i="17"/>
  <c r="AA4" i="17"/>
  <c r="R7" i="17"/>
  <c r="P7" i="17"/>
  <c r="Q7" i="17"/>
  <c r="AA10" i="17"/>
  <c r="Z10" i="17"/>
  <c r="Y10" i="17"/>
  <c r="AJ10" i="17"/>
  <c r="AI10" i="17"/>
  <c r="AH10" i="17"/>
  <c r="L27" i="8"/>
  <c r="J71" i="8" s="1"/>
  <c r="H48" i="14"/>
  <c r="F3" i="2"/>
  <c r="L30" i="8"/>
  <c r="J73" i="8" s="1"/>
  <c r="L29" i="8"/>
  <c r="J72" i="8" s="1"/>
  <c r="AJ9" i="17"/>
  <c r="AI9" i="17"/>
  <c r="AH9" i="17"/>
  <c r="AJ8" i="17"/>
  <c r="AI8" i="17"/>
  <c r="AH8" i="17"/>
  <c r="AA8" i="17"/>
  <c r="Z8" i="17"/>
  <c r="Y8" i="17"/>
  <c r="Y9" i="17"/>
  <c r="Z9" i="17"/>
  <c r="AA9" i="17"/>
  <c r="L3" i="2"/>
  <c r="I9" i="2"/>
  <c r="L8" i="2"/>
  <c r="I8" i="2"/>
  <c r="O50" i="18"/>
  <c r="L50" i="18"/>
  <c r="I3" i="2"/>
  <c r="L9" i="2"/>
  <c r="I7" i="2"/>
  <c r="H68" i="14"/>
  <c r="F6" i="2"/>
  <c r="H62" i="14"/>
  <c r="F7" i="2"/>
  <c r="H56" i="14"/>
  <c r="H52" i="14"/>
  <c r="F9" i="2"/>
  <c r="H47" i="14"/>
  <c r="H57" i="14"/>
  <c r="H63" i="14"/>
  <c r="H51" i="14"/>
  <c r="S30" i="12"/>
  <c r="S32" i="12"/>
  <c r="S31" i="12"/>
  <c r="S29" i="12"/>
  <c r="L7" i="2" l="1"/>
  <c r="O148" i="18"/>
  <c r="O144" i="18"/>
  <c r="H120" i="18"/>
  <c r="Y16" i="12"/>
  <c r="W23" i="12"/>
  <c r="L151" i="18"/>
  <c r="L143" i="18"/>
  <c r="O151" i="18"/>
  <c r="O143" i="18"/>
  <c r="H117" i="18"/>
  <c r="H11" i="17"/>
  <c r="S40" i="12"/>
  <c r="Z7" i="17"/>
  <c r="AA7" i="17"/>
  <c r="Y7" i="17"/>
  <c r="AJ7" i="17"/>
  <c r="AI7" i="17"/>
  <c r="AH7" i="17"/>
  <c r="H119" i="18"/>
  <c r="L34" i="8"/>
  <c r="J76" i="8" s="1"/>
  <c r="R7" i="8"/>
  <c r="S7" i="8"/>
  <c r="M11" i="17"/>
  <c r="O11" i="17"/>
  <c r="N11" i="17"/>
  <c r="I6" i="2"/>
  <c r="L6" i="2"/>
  <c r="T31" i="12"/>
  <c r="T29" i="12"/>
  <c r="W21" i="12"/>
  <c r="AA8" i="12" l="1"/>
  <c r="Z8" i="12"/>
  <c r="E10" i="2"/>
  <c r="W20" i="12" l="1"/>
  <c r="Y13" i="12"/>
  <c r="W13" i="12"/>
  <c r="W14" i="12"/>
  <c r="W15" i="12"/>
  <c r="T18" i="12" l="1"/>
  <c r="T16" i="12"/>
  <c r="T14" i="12"/>
  <c r="T12" i="12"/>
  <c r="T9" i="12"/>
  <c r="T7" i="12"/>
  <c r="T5" i="12"/>
  <c r="T3" i="12"/>
  <c r="T23" i="12"/>
  <c r="Z16" i="12" s="1"/>
  <c r="J30" i="12"/>
  <c r="J27" i="12"/>
  <c r="J25" i="12"/>
  <c r="J23" i="12"/>
  <c r="J21" i="12"/>
  <c r="J36" i="12"/>
  <c r="J34" i="12"/>
  <c r="J32" i="12"/>
  <c r="J18" i="12"/>
  <c r="J16" i="12"/>
  <c r="J14" i="12"/>
  <c r="J12" i="12"/>
  <c r="J9" i="12"/>
  <c r="J7" i="12"/>
  <c r="J5" i="12"/>
  <c r="J3" i="12"/>
  <c r="W6" i="12" l="1"/>
  <c r="G5" i="17" s="1"/>
  <c r="Z15" i="12"/>
  <c r="S20" i="12"/>
  <c r="X22" i="12"/>
  <c r="X23" i="12"/>
  <c r="S28" i="12"/>
  <c r="D10" i="17" s="1"/>
  <c r="Z7" i="12"/>
  <c r="AA7" i="12"/>
  <c r="E10" i="17" s="1"/>
  <c r="AA5" i="12"/>
  <c r="E8" i="17" s="1"/>
  <c r="X5" i="12"/>
  <c r="E4" i="17" s="1"/>
  <c r="W5" i="12"/>
  <c r="G4" i="17" s="1"/>
  <c r="X20" i="12"/>
  <c r="X15" i="12"/>
  <c r="X13" i="12"/>
  <c r="Z13" i="12"/>
  <c r="Z14" i="12"/>
  <c r="X21" i="12"/>
  <c r="X14" i="12"/>
  <c r="X6" i="12"/>
  <c r="E5" i="17" s="1"/>
  <c r="W8" i="12"/>
  <c r="G7" i="17" s="1"/>
  <c r="X16" i="12"/>
  <c r="X8" i="12"/>
  <c r="E7" i="17" s="1"/>
  <c r="W7" i="12"/>
  <c r="G6" i="17" s="1"/>
  <c r="Z6" i="12"/>
  <c r="G9" i="17" s="1"/>
  <c r="X7" i="12"/>
  <c r="E6" i="17" s="1"/>
  <c r="AA6" i="12"/>
  <c r="E9" i="17" s="1"/>
  <c r="Z5" i="12"/>
  <c r="G8" i="17" s="1"/>
  <c r="R28" i="12"/>
  <c r="R11" i="12"/>
  <c r="I29" i="12"/>
  <c r="G29" i="12"/>
  <c r="H29" i="12"/>
  <c r="F29" i="12"/>
  <c r="E23" i="8"/>
  <c r="E24" i="8"/>
  <c r="E25" i="8"/>
  <c r="E26" i="8"/>
  <c r="E27" i="8"/>
  <c r="E28" i="8"/>
  <c r="E22" i="8"/>
  <c r="F22" i="8" s="1"/>
  <c r="F28" i="8" l="1"/>
  <c r="H31" i="18" s="1"/>
  <c r="F27" i="8"/>
  <c r="H30" i="18" s="1"/>
  <c r="D5" i="2"/>
  <c r="D6" i="17"/>
  <c r="F24" i="8"/>
  <c r="H27" i="18" s="1"/>
  <c r="F23" i="8"/>
  <c r="F26" i="8"/>
  <c r="F25" i="8"/>
  <c r="H28" i="18" s="1"/>
  <c r="M29" i="13"/>
  <c r="F79" i="18" s="1"/>
  <c r="O6" i="8" l="1"/>
  <c r="H29" i="18"/>
  <c r="M79" i="18"/>
  <c r="P79" i="18"/>
  <c r="J79" i="18"/>
  <c r="H26" i="18"/>
  <c r="F29" i="8"/>
  <c r="P6" i="8"/>
  <c r="Q28" i="12"/>
  <c r="P28" i="12"/>
  <c r="Q20" i="12"/>
  <c r="P20" i="12"/>
  <c r="Q11" i="12"/>
  <c r="P11" i="12"/>
  <c r="G38" i="12"/>
  <c r="F38" i="12"/>
  <c r="G20" i="12"/>
  <c r="F20" i="12"/>
  <c r="G11" i="12"/>
  <c r="F11" i="12"/>
  <c r="D9" i="17"/>
  <c r="S11" i="12"/>
  <c r="D8" i="17" s="1"/>
  <c r="M6" i="17" l="1"/>
  <c r="N6" i="17"/>
  <c r="O6" i="17"/>
  <c r="E5" i="2"/>
  <c r="M5" i="13"/>
  <c r="F5" i="18" s="1"/>
  <c r="M6" i="13"/>
  <c r="F6" i="18" s="1"/>
  <c r="M8" i="13"/>
  <c r="F8" i="18" s="1"/>
  <c r="M9" i="13"/>
  <c r="F92" i="18" s="1"/>
  <c r="M10" i="13"/>
  <c r="F93" i="18" s="1"/>
  <c r="M11" i="13"/>
  <c r="F94" i="18" s="1"/>
  <c r="M12" i="13"/>
  <c r="F95" i="18" s="1"/>
  <c r="M13" i="13"/>
  <c r="F96" i="18" s="1"/>
  <c r="M20" i="13"/>
  <c r="F70" i="18" s="1"/>
  <c r="M21" i="13"/>
  <c r="F71" i="18" s="1"/>
  <c r="M22" i="13"/>
  <c r="F72" i="18" s="1"/>
  <c r="M23" i="13"/>
  <c r="F73" i="18" s="1"/>
  <c r="M24" i="13"/>
  <c r="F74" i="18" s="1"/>
  <c r="M25" i="13"/>
  <c r="F75" i="18" s="1"/>
  <c r="M26" i="13"/>
  <c r="F76" i="18" s="1"/>
  <c r="M27" i="13"/>
  <c r="F77" i="18" s="1"/>
  <c r="M28" i="13"/>
  <c r="F78" i="18" s="1"/>
  <c r="M30" i="13"/>
  <c r="F80" i="18" s="1"/>
  <c r="M31" i="13"/>
  <c r="F81" i="18" s="1"/>
  <c r="M32" i="13"/>
  <c r="F50" i="18" s="1"/>
  <c r="M33" i="13"/>
  <c r="F51" i="18" s="1"/>
  <c r="M34" i="13"/>
  <c r="F52" i="18" s="1"/>
  <c r="M35" i="13"/>
  <c r="F53" i="18" s="1"/>
  <c r="M36" i="13"/>
  <c r="F54" i="18" s="1"/>
  <c r="M37" i="13"/>
  <c r="F55" i="18" s="1"/>
  <c r="M38" i="13"/>
  <c r="F26" i="18" s="1"/>
  <c r="M39" i="13"/>
  <c r="F27" i="18" s="1"/>
  <c r="M40" i="13"/>
  <c r="F28" i="18" s="1"/>
  <c r="M41" i="13"/>
  <c r="F29" i="18" s="1"/>
  <c r="M42" i="13"/>
  <c r="F30" i="18" s="1"/>
  <c r="M43" i="13"/>
  <c r="F31" i="18" s="1"/>
  <c r="M44" i="13"/>
  <c r="F117" i="18" s="1"/>
  <c r="M45" i="13"/>
  <c r="F118" i="18" s="1"/>
  <c r="M46" i="13"/>
  <c r="F119" i="18" s="1"/>
  <c r="M47" i="13"/>
  <c r="F120" i="18" s="1"/>
  <c r="M3" i="13"/>
  <c r="F3" i="18" s="1"/>
  <c r="P8" i="18" l="1"/>
  <c r="P5" i="18"/>
  <c r="P6" i="18"/>
  <c r="F143" i="18"/>
  <c r="F147" i="18"/>
  <c r="F145" i="18"/>
  <c r="F149" i="18"/>
  <c r="F142" i="18"/>
  <c r="F150" i="18"/>
  <c r="F141" i="18"/>
  <c r="F144" i="18"/>
  <c r="F146" i="18"/>
  <c r="F148" i="18"/>
  <c r="F140" i="18"/>
  <c r="F151" i="18"/>
  <c r="V30" i="18"/>
  <c r="S30" i="18"/>
  <c r="V117" i="18"/>
  <c r="S117" i="18"/>
  <c r="V26" i="18"/>
  <c r="S26" i="18"/>
  <c r="V29" i="18"/>
  <c r="S29" i="18"/>
  <c r="V28" i="18"/>
  <c r="S28" i="18"/>
  <c r="S31" i="18"/>
  <c r="V31" i="18"/>
  <c r="V27" i="18"/>
  <c r="S27" i="18"/>
  <c r="S120" i="18"/>
  <c r="V120" i="18"/>
  <c r="S119" i="18"/>
  <c r="V119" i="18"/>
  <c r="M73" i="18"/>
  <c r="P73" i="18"/>
  <c r="J73" i="18"/>
  <c r="M54" i="18"/>
  <c r="P54" i="18"/>
  <c r="J54" i="18"/>
  <c r="M94" i="18"/>
  <c r="P94" i="18"/>
  <c r="J94" i="18"/>
  <c r="M75" i="18"/>
  <c r="P75" i="18"/>
  <c r="J75" i="18"/>
  <c r="M26" i="18"/>
  <c r="P26" i="18"/>
  <c r="J26" i="18"/>
  <c r="M93" i="18"/>
  <c r="J93" i="18"/>
  <c r="P93" i="18"/>
  <c r="M28" i="18"/>
  <c r="P28" i="18"/>
  <c r="J28" i="18"/>
  <c r="M3" i="18"/>
  <c r="P3" i="18"/>
  <c r="J3" i="18"/>
  <c r="M72" i="18"/>
  <c r="P72" i="18"/>
  <c r="J72" i="18"/>
  <c r="M53" i="18"/>
  <c r="P53" i="18"/>
  <c r="J53" i="18"/>
  <c r="M8" i="18"/>
  <c r="J8" i="18"/>
  <c r="M30" i="18"/>
  <c r="P30" i="18"/>
  <c r="J30" i="18"/>
  <c r="M27" i="18"/>
  <c r="P27" i="18"/>
  <c r="J27" i="18"/>
  <c r="M96" i="18"/>
  <c r="P96" i="18"/>
  <c r="J96" i="18"/>
  <c r="M92" i="18"/>
  <c r="J92" i="18"/>
  <c r="P92" i="18"/>
  <c r="M80" i="18"/>
  <c r="P80" i="18"/>
  <c r="J80" i="18"/>
  <c r="M6" i="18"/>
  <c r="J6" i="18"/>
  <c r="M29" i="18"/>
  <c r="P29" i="18"/>
  <c r="J29" i="18"/>
  <c r="M70" i="18"/>
  <c r="P70" i="18"/>
  <c r="J70" i="18"/>
  <c r="M52" i="18"/>
  <c r="P52" i="18"/>
  <c r="J52" i="18"/>
  <c r="M81" i="18"/>
  <c r="P81" i="18"/>
  <c r="J81" i="18"/>
  <c r="M78" i="18"/>
  <c r="P78" i="18"/>
  <c r="J78" i="18"/>
  <c r="M5" i="18"/>
  <c r="J5" i="18"/>
  <c r="M74" i="18"/>
  <c r="P74" i="18"/>
  <c r="J74" i="18"/>
  <c r="M55" i="18"/>
  <c r="P55" i="18"/>
  <c r="J55" i="18"/>
  <c r="M51" i="18"/>
  <c r="P51" i="18"/>
  <c r="J51" i="18"/>
  <c r="M120" i="18"/>
  <c r="P120" i="18"/>
  <c r="J120" i="18"/>
  <c r="M117" i="18"/>
  <c r="P117" i="18"/>
  <c r="J117" i="18"/>
  <c r="M77" i="18"/>
  <c r="P77" i="18"/>
  <c r="J77" i="18"/>
  <c r="M71" i="18"/>
  <c r="P71" i="18"/>
  <c r="J71" i="18"/>
  <c r="M95" i="18"/>
  <c r="P95" i="18"/>
  <c r="J95" i="18"/>
  <c r="M50" i="18"/>
  <c r="P50" i="18"/>
  <c r="J50" i="18"/>
  <c r="M119" i="18"/>
  <c r="P119" i="18"/>
  <c r="J119" i="18"/>
  <c r="M31" i="18"/>
  <c r="P31" i="18"/>
  <c r="J31" i="18"/>
  <c r="M76" i="18"/>
  <c r="P76" i="18"/>
  <c r="J76" i="18"/>
  <c r="I4" i="13"/>
  <c r="E4" i="18" s="1"/>
  <c r="I5" i="13"/>
  <c r="E5" i="18" s="1"/>
  <c r="Z5" i="18" s="1"/>
  <c r="I6" i="13"/>
  <c r="E6" i="18" s="1"/>
  <c r="Z6" i="18" s="1"/>
  <c r="I7" i="13"/>
  <c r="E7" i="18" s="1"/>
  <c r="I8" i="13"/>
  <c r="E8" i="18" s="1"/>
  <c r="Z8" i="18" s="1"/>
  <c r="I9" i="13"/>
  <c r="E92" i="18" s="1"/>
  <c r="Z92" i="18" s="1"/>
  <c r="I10" i="13"/>
  <c r="E93" i="18" s="1"/>
  <c r="Z93" i="18" s="1"/>
  <c r="I11" i="13"/>
  <c r="E94" i="18" s="1"/>
  <c r="Z94" i="18" s="1"/>
  <c r="I12" i="13"/>
  <c r="E95" i="18" s="1"/>
  <c r="Z95" i="18" s="1"/>
  <c r="I13" i="13"/>
  <c r="E96" i="18" s="1"/>
  <c r="Z96" i="18" s="1"/>
  <c r="I20" i="13"/>
  <c r="E70" i="18" s="1"/>
  <c r="Z70" i="18" s="1"/>
  <c r="I21" i="13"/>
  <c r="E71" i="18" s="1"/>
  <c r="Z71" i="18" s="1"/>
  <c r="I22" i="13"/>
  <c r="E72" i="18" s="1"/>
  <c r="Z72" i="18" s="1"/>
  <c r="I23" i="13"/>
  <c r="E73" i="18" s="1"/>
  <c r="Z73" i="18" s="1"/>
  <c r="I24" i="13"/>
  <c r="E74" i="18" s="1"/>
  <c r="Z74" i="18" s="1"/>
  <c r="I25" i="13"/>
  <c r="E75" i="18" s="1"/>
  <c r="Z75" i="18" s="1"/>
  <c r="I26" i="13"/>
  <c r="E76" i="18" s="1"/>
  <c r="Z76" i="18" s="1"/>
  <c r="I27" i="13"/>
  <c r="E77" i="18" s="1"/>
  <c r="Z77" i="18" s="1"/>
  <c r="I28" i="13"/>
  <c r="E78" i="18" s="1"/>
  <c r="Z78" i="18" s="1"/>
  <c r="I29" i="13"/>
  <c r="E79" i="18" s="1"/>
  <c r="I30" i="13"/>
  <c r="E80" i="18" s="1"/>
  <c r="Z80" i="18" s="1"/>
  <c r="I31" i="13"/>
  <c r="E81" i="18" s="1"/>
  <c r="Z81" i="18" s="1"/>
  <c r="I32" i="13"/>
  <c r="E50" i="18" s="1"/>
  <c r="Z50" i="18" s="1"/>
  <c r="I33" i="13"/>
  <c r="E51" i="18" s="1"/>
  <c r="Z51" i="18" s="1"/>
  <c r="I34" i="13"/>
  <c r="E52" i="18" s="1"/>
  <c r="Z52" i="18" s="1"/>
  <c r="I35" i="13"/>
  <c r="E53" i="18" s="1"/>
  <c r="Z53" i="18" s="1"/>
  <c r="I36" i="13"/>
  <c r="E54" i="18" s="1"/>
  <c r="Z54" i="18" s="1"/>
  <c r="I37" i="13"/>
  <c r="E55" i="18" s="1"/>
  <c r="Z55" i="18" s="1"/>
  <c r="I38" i="13"/>
  <c r="E26" i="18" s="1"/>
  <c r="Z26" i="18" s="1"/>
  <c r="I39" i="13"/>
  <c r="E27" i="18" s="1"/>
  <c r="Z27" i="18" s="1"/>
  <c r="I40" i="13"/>
  <c r="E28" i="18" s="1"/>
  <c r="Z28" i="18" s="1"/>
  <c r="I41" i="13"/>
  <c r="E29" i="18" s="1"/>
  <c r="Z29" i="18" s="1"/>
  <c r="I42" i="13"/>
  <c r="E30" i="18" s="1"/>
  <c r="Z30" i="18" s="1"/>
  <c r="I43" i="13"/>
  <c r="E31" i="18" s="1"/>
  <c r="Z31" i="18" s="1"/>
  <c r="I44" i="13"/>
  <c r="E117" i="18" s="1"/>
  <c r="Z117" i="18" s="1"/>
  <c r="I45" i="13"/>
  <c r="E118" i="18" s="1"/>
  <c r="Z118" i="18" s="1"/>
  <c r="I46" i="13"/>
  <c r="E119" i="18" s="1"/>
  <c r="Z119" i="18" s="1"/>
  <c r="I47" i="13"/>
  <c r="E120" i="18" s="1"/>
  <c r="Z120" i="18" s="1"/>
  <c r="I3" i="13"/>
  <c r="E3" i="18" s="1"/>
  <c r="Z3" i="18" s="1"/>
  <c r="S151" i="18" l="1"/>
  <c r="S147" i="18"/>
  <c r="G27" i="18"/>
  <c r="G120" i="18"/>
  <c r="G54" i="18"/>
  <c r="G28" i="18"/>
  <c r="G3" i="18"/>
  <c r="G72" i="18"/>
  <c r="G30" i="18"/>
  <c r="Z79" i="18"/>
  <c r="Z149" i="18" s="1"/>
  <c r="G79" i="18"/>
  <c r="G55" i="18"/>
  <c r="G53" i="18"/>
  <c r="G5" i="18"/>
  <c r="G92" i="18"/>
  <c r="G94" i="18"/>
  <c r="G74" i="18"/>
  <c r="G50" i="18"/>
  <c r="G117" i="18"/>
  <c r="G76" i="18"/>
  <c r="G75" i="18"/>
  <c r="G71" i="18"/>
  <c r="G29" i="18"/>
  <c r="G8" i="18"/>
  <c r="G119" i="18"/>
  <c r="G95" i="18"/>
  <c r="G70" i="18"/>
  <c r="G26" i="18"/>
  <c r="G73" i="18"/>
  <c r="G80" i="18"/>
  <c r="G51" i="18"/>
  <c r="G6" i="18"/>
  <c r="G81" i="18"/>
  <c r="G118" i="18"/>
  <c r="G78" i="18"/>
  <c r="G93" i="18"/>
  <c r="G52" i="18"/>
  <c r="G31" i="18"/>
  <c r="G77" i="18"/>
  <c r="G96" i="18"/>
  <c r="CR11" i="17"/>
  <c r="CQ11" i="17"/>
  <c r="CP11" i="17"/>
  <c r="Z151" i="18"/>
  <c r="CR7" i="17"/>
  <c r="CQ7" i="17"/>
  <c r="CP7" i="17"/>
  <c r="CR10" i="17"/>
  <c r="Z147" i="18"/>
  <c r="CQ10" i="17"/>
  <c r="CP10" i="17"/>
  <c r="Z143" i="18"/>
  <c r="Z150" i="18"/>
  <c r="CR6" i="17"/>
  <c r="CQ6" i="17"/>
  <c r="Z142" i="18"/>
  <c r="CP6" i="17"/>
  <c r="Z141" i="18"/>
  <c r="CR8" i="17"/>
  <c r="CQ8" i="17"/>
  <c r="Z148" i="18"/>
  <c r="Z146" i="18"/>
  <c r="CP8" i="17"/>
  <c r="CR4" i="17"/>
  <c r="CP4" i="17"/>
  <c r="CQ4" i="17"/>
  <c r="Z140" i="18"/>
  <c r="T8" i="17"/>
  <c r="U8" i="17"/>
  <c r="S8" i="17"/>
  <c r="E143" i="18"/>
  <c r="V143" i="18"/>
  <c r="V147" i="18"/>
  <c r="J143" i="18"/>
  <c r="P147" i="18"/>
  <c r="J147" i="18"/>
  <c r="M147" i="18"/>
  <c r="P151" i="18"/>
  <c r="M143" i="18"/>
  <c r="E147" i="18"/>
  <c r="S143" i="18"/>
  <c r="P143" i="18"/>
  <c r="M151" i="18"/>
  <c r="E151" i="18"/>
  <c r="M148" i="18"/>
  <c r="M146" i="18"/>
  <c r="M144" i="18"/>
  <c r="J150" i="18"/>
  <c r="J142" i="18"/>
  <c r="J141" i="18"/>
  <c r="P150" i="18"/>
  <c r="P141" i="18"/>
  <c r="P145" i="18"/>
  <c r="P149" i="18"/>
  <c r="M150" i="18"/>
  <c r="M142" i="18"/>
  <c r="M141" i="18"/>
  <c r="P144" i="18"/>
  <c r="P148" i="18"/>
  <c r="P146" i="18"/>
  <c r="J140" i="18"/>
  <c r="S150" i="18"/>
  <c r="S141" i="18"/>
  <c r="E146" i="18"/>
  <c r="E144" i="18"/>
  <c r="E150" i="18"/>
  <c r="E141" i="18"/>
  <c r="E145" i="18"/>
  <c r="E149" i="18"/>
  <c r="P142" i="18"/>
  <c r="P140" i="18"/>
  <c r="V150" i="18"/>
  <c r="V141" i="18"/>
  <c r="M145" i="18"/>
  <c r="M149" i="18"/>
  <c r="M140" i="18"/>
  <c r="J148" i="18"/>
  <c r="J146" i="18"/>
  <c r="J144" i="18"/>
  <c r="J145" i="18"/>
  <c r="J149" i="18"/>
  <c r="E148" i="18"/>
  <c r="E142" i="18"/>
  <c r="E140" i="18"/>
  <c r="J151" i="18"/>
  <c r="V151" i="18"/>
  <c r="U4" i="17"/>
  <c r="T4" i="17"/>
  <c r="S4" i="17"/>
  <c r="AM4" i="17"/>
  <c r="AL4" i="17"/>
  <c r="AK4" i="17"/>
  <c r="AB4" i="17"/>
  <c r="AD4" i="17"/>
  <c r="AC4" i="17"/>
  <c r="S6" i="17"/>
  <c r="U6" i="17"/>
  <c r="T6" i="17"/>
  <c r="S7" i="17"/>
  <c r="T7" i="17"/>
  <c r="U7" i="17"/>
  <c r="U11" i="17"/>
  <c r="S11" i="17"/>
  <c r="T11" i="17"/>
  <c r="U10" i="17"/>
  <c r="T10" i="17"/>
  <c r="S10" i="17"/>
  <c r="AV6" i="17"/>
  <c r="AT6" i="17"/>
  <c r="AU6" i="17"/>
  <c r="BD11" i="17"/>
  <c r="BC11" i="17"/>
  <c r="BE11" i="17"/>
  <c r="BE6" i="17"/>
  <c r="BD6" i="17"/>
  <c r="BC6" i="17"/>
  <c r="AU11" i="17"/>
  <c r="AT11" i="17"/>
  <c r="AV11" i="17"/>
  <c r="AB10" i="17"/>
  <c r="AC10" i="17"/>
  <c r="AD10" i="17"/>
  <c r="AD11" i="17"/>
  <c r="AC11" i="17"/>
  <c r="AB11" i="17"/>
  <c r="AC6" i="17"/>
  <c r="AB6" i="17"/>
  <c r="AD6" i="17"/>
  <c r="AB7" i="17"/>
  <c r="AD7" i="17"/>
  <c r="AC7" i="17"/>
  <c r="AM6" i="17"/>
  <c r="AK6" i="17"/>
  <c r="AL6" i="17"/>
  <c r="AM7" i="17"/>
  <c r="AL7" i="17"/>
  <c r="AK7" i="17"/>
  <c r="AM11" i="17"/>
  <c r="AL11" i="17"/>
  <c r="AK11" i="17"/>
  <c r="AM10" i="17"/>
  <c r="AL10" i="17"/>
  <c r="AK10" i="17"/>
  <c r="AL9" i="17"/>
  <c r="AM9" i="17"/>
  <c r="AK9" i="17"/>
  <c r="AL8" i="17"/>
  <c r="AM8" i="17"/>
  <c r="AK8" i="17"/>
  <c r="P5" i="2"/>
  <c r="S5" i="2"/>
  <c r="P10" i="2"/>
  <c r="S10" i="2"/>
  <c r="U9" i="17"/>
  <c r="T9" i="17"/>
  <c r="S9" i="17"/>
  <c r="AD8" i="17"/>
  <c r="AB8" i="17"/>
  <c r="AC8" i="17"/>
  <c r="AD9" i="17"/>
  <c r="AC9" i="17"/>
  <c r="AB9" i="17"/>
  <c r="G5" i="2"/>
  <c r="J5" i="2"/>
  <c r="G6" i="2"/>
  <c r="G3" i="2"/>
  <c r="M5" i="2"/>
  <c r="M3" i="2"/>
  <c r="J10" i="2"/>
  <c r="M9" i="2"/>
  <c r="M8" i="2"/>
  <c r="M7" i="2"/>
  <c r="G10" i="2"/>
  <c r="M10" i="2"/>
  <c r="J9" i="2"/>
  <c r="J6" i="2"/>
  <c r="M6" i="2"/>
  <c r="J3" i="2"/>
  <c r="J7" i="2"/>
  <c r="J8" i="2"/>
  <c r="G8" i="2"/>
  <c r="G7" i="2"/>
  <c r="G9" i="2"/>
  <c r="R20" i="12"/>
  <c r="H38" i="12"/>
  <c r="H20" i="12"/>
  <c r="H11" i="12"/>
  <c r="Z145" i="18" l="1"/>
  <c r="CQ9" i="17"/>
  <c r="CR9" i="17"/>
  <c r="Z144" i="18"/>
  <c r="CP9" i="17"/>
  <c r="J6" i="17"/>
  <c r="L6" i="17"/>
  <c r="K6" i="17"/>
  <c r="G142" i="18"/>
  <c r="G143" i="18"/>
  <c r="G150" i="18"/>
  <c r="G141" i="18"/>
  <c r="J8" i="17"/>
  <c r="K8" i="17"/>
  <c r="L8" i="17"/>
  <c r="G144" i="18"/>
  <c r="G146" i="18"/>
  <c r="G148" i="18"/>
  <c r="K10" i="17"/>
  <c r="L10" i="17"/>
  <c r="J10" i="17"/>
  <c r="G147" i="18"/>
  <c r="K9" i="17"/>
  <c r="J9" i="17"/>
  <c r="L9" i="17"/>
  <c r="G145" i="18"/>
  <c r="G149" i="18"/>
  <c r="K11" i="17"/>
  <c r="J11" i="17"/>
  <c r="L11" i="17"/>
  <c r="K4" i="17"/>
  <c r="J4" i="17"/>
  <c r="L4" i="17"/>
  <c r="G140" i="18"/>
  <c r="L7" i="17"/>
  <c r="J7" i="17"/>
  <c r="K7" i="17"/>
  <c r="G151" i="18"/>
  <c r="I38" i="12"/>
  <c r="D6" i="2" l="1"/>
  <c r="D7" i="17"/>
  <c r="E39" i="8"/>
  <c r="E40" i="8"/>
  <c r="E41" i="8"/>
  <c r="E42" i="8"/>
  <c r="E43" i="8"/>
  <c r="E44" i="8"/>
  <c r="E38" i="8"/>
  <c r="F38" i="8" s="1"/>
  <c r="F40" i="8" l="1"/>
  <c r="H51" i="18" s="1"/>
  <c r="F41" i="8"/>
  <c r="H52" i="18" s="1"/>
  <c r="F39" i="8"/>
  <c r="F44" i="8"/>
  <c r="H55" i="18" s="1"/>
  <c r="F43" i="8"/>
  <c r="H54" i="18" s="1"/>
  <c r="F42" i="8"/>
  <c r="H53" i="18" s="1"/>
  <c r="D7" i="2"/>
  <c r="D9" i="2"/>
  <c r="I20" i="12"/>
  <c r="I11" i="12"/>
  <c r="D3" i="2" s="1"/>
  <c r="D8" i="2"/>
  <c r="O14" i="8" l="1"/>
  <c r="H50" i="18"/>
  <c r="R14" i="8"/>
  <c r="D4" i="2"/>
  <c r="D5" i="17"/>
  <c r="D4" i="17"/>
  <c r="O7" i="8"/>
  <c r="P7" i="8"/>
  <c r="F45" i="8"/>
  <c r="K12" i="8"/>
  <c r="K13" i="8"/>
  <c r="K14" i="8"/>
  <c r="K15" i="8"/>
  <c r="K16" i="8"/>
  <c r="K17" i="8"/>
  <c r="K11" i="8"/>
  <c r="K9" i="8"/>
  <c r="K4" i="8"/>
  <c r="K5" i="8"/>
  <c r="K6" i="8"/>
  <c r="K7" i="8"/>
  <c r="K8" i="8"/>
  <c r="K3" i="8"/>
  <c r="L3" i="8" s="1"/>
  <c r="H151" i="18" l="1"/>
  <c r="H143" i="18"/>
  <c r="M7" i="17"/>
  <c r="N7" i="17"/>
  <c r="O7" i="17"/>
  <c r="E6" i="2"/>
  <c r="L9" i="8"/>
  <c r="H75" i="18" s="1"/>
  <c r="L17" i="8"/>
  <c r="H81" i="18" s="1"/>
  <c r="L6" i="8"/>
  <c r="H72" i="18" s="1"/>
  <c r="L11" i="8"/>
  <c r="L5" i="8"/>
  <c r="H71" i="18" s="1"/>
  <c r="L4" i="8"/>
  <c r="H70" i="18" s="1"/>
  <c r="L16" i="8"/>
  <c r="H80" i="18" s="1"/>
  <c r="L15" i="8"/>
  <c r="H79" i="18" s="1"/>
  <c r="L14" i="8"/>
  <c r="H78" i="18" s="1"/>
  <c r="L13" i="8"/>
  <c r="H77" i="18" s="1"/>
  <c r="L7" i="8"/>
  <c r="H73" i="18" s="1"/>
  <c r="L12" i="8"/>
  <c r="H76" i="18" s="1"/>
  <c r="L8" i="8"/>
  <c r="H74" i="18" s="1"/>
  <c r="H144" i="18" l="1"/>
  <c r="N9" i="17"/>
  <c r="O9" i="17"/>
  <c r="M9" i="17"/>
  <c r="S5" i="8"/>
  <c r="R5" i="8"/>
  <c r="L18" i="8"/>
  <c r="S11" i="8"/>
  <c r="S4" i="8"/>
  <c r="R4" i="8"/>
  <c r="L10" i="8"/>
  <c r="E15" i="8"/>
  <c r="E16" i="8"/>
  <c r="E17" i="8"/>
  <c r="E18" i="8"/>
  <c r="E19" i="8"/>
  <c r="E20" i="8"/>
  <c r="E14" i="8"/>
  <c r="E7" i="2" l="1"/>
  <c r="E8" i="2"/>
  <c r="F15" i="8"/>
  <c r="H11" i="18" s="1"/>
  <c r="F20" i="8"/>
  <c r="H16" i="18" s="1"/>
  <c r="F19" i="8"/>
  <c r="H15" i="18" s="1"/>
  <c r="F17" i="8"/>
  <c r="H13" i="18" s="1"/>
  <c r="F16" i="8"/>
  <c r="H12" i="18" s="1"/>
  <c r="F18" i="8"/>
  <c r="H14" i="18" s="1"/>
  <c r="F14" i="8"/>
  <c r="E32" i="8"/>
  <c r="E33" i="8"/>
  <c r="E34" i="8"/>
  <c r="E35" i="8"/>
  <c r="E36" i="8"/>
  <c r="E31" i="8"/>
  <c r="E30" i="8"/>
  <c r="F30" i="8" s="1"/>
  <c r="H149" i="18" l="1"/>
  <c r="H141" i="18"/>
  <c r="F33" i="8"/>
  <c r="F34" i="8"/>
  <c r="F32" i="8"/>
  <c r="F35" i="8"/>
  <c r="N5" i="17"/>
  <c r="M5" i="17"/>
  <c r="O5" i="17"/>
  <c r="F36" i="8"/>
  <c r="O5" i="8"/>
  <c r="P5" i="8"/>
  <c r="O12" i="8"/>
  <c r="R13" i="8"/>
  <c r="F21" i="8"/>
  <c r="F31" i="8"/>
  <c r="K20" i="8"/>
  <c r="K21" i="8"/>
  <c r="K22" i="8"/>
  <c r="K23" i="8"/>
  <c r="K24" i="8"/>
  <c r="K19" i="8"/>
  <c r="L19" i="8" s="1"/>
  <c r="F37" i="8" l="1"/>
  <c r="E4" i="2"/>
  <c r="L21" i="8"/>
  <c r="H93" i="18" s="1"/>
  <c r="L20" i="8"/>
  <c r="L24" i="8"/>
  <c r="H96" i="18" s="1"/>
  <c r="L23" i="8"/>
  <c r="H95" i="18" s="1"/>
  <c r="L22" i="8"/>
  <c r="H94" i="18" s="1"/>
  <c r="E4" i="8"/>
  <c r="E5" i="8"/>
  <c r="E6" i="8"/>
  <c r="E7" i="8"/>
  <c r="E8" i="8"/>
  <c r="E9" i="8"/>
  <c r="E3" i="8"/>
  <c r="H92" i="18" l="1"/>
  <c r="H147" i="18" s="1"/>
  <c r="S14" i="8"/>
  <c r="S6" i="8"/>
  <c r="S13" i="8"/>
  <c r="R6" i="8"/>
  <c r="O13" i="8"/>
  <c r="S12" i="8"/>
  <c r="L25" i="8"/>
  <c r="F6" i="8"/>
  <c r="H5" i="18" s="1"/>
  <c r="F5" i="8"/>
  <c r="H4" i="18" s="1"/>
  <c r="F4" i="8"/>
  <c r="F3" i="8"/>
  <c r="F7" i="8"/>
  <c r="H6" i="18" s="1"/>
  <c r="F9" i="8"/>
  <c r="H8" i="18" s="1"/>
  <c r="F8" i="8"/>
  <c r="H7" i="18" s="1"/>
  <c r="M8" i="17" l="1"/>
  <c r="O8" i="17"/>
  <c r="N8" i="17"/>
  <c r="H150" i="18"/>
  <c r="H146" i="18"/>
  <c r="H145" i="18"/>
  <c r="H3" i="18"/>
  <c r="F13" i="8"/>
  <c r="E3" i="2" s="1"/>
  <c r="N10" i="17"/>
  <c r="O10" i="17"/>
  <c r="M10" i="17"/>
  <c r="E9" i="2"/>
  <c r="P4" i="8"/>
  <c r="O4" i="8"/>
  <c r="R11" i="8"/>
  <c r="O11" i="8"/>
  <c r="R12" i="8"/>
  <c r="D10" i="2"/>
  <c r="D11" i="17"/>
  <c r="C40" i="15"/>
  <c r="C39" i="15"/>
  <c r="C38" i="15"/>
  <c r="C37" i="15"/>
  <c r="C36" i="15"/>
  <c r="C35" i="15"/>
  <c r="H140" i="18" l="1"/>
  <c r="H142" i="18"/>
  <c r="H148" i="18"/>
  <c r="M4" i="17"/>
  <c r="O4" i="17"/>
  <c r="N4" i="17"/>
  <c r="E11" i="17"/>
  <c r="G11" i="17"/>
</calcChain>
</file>

<file path=xl/sharedStrings.xml><?xml version="1.0" encoding="utf-8"?>
<sst xmlns="http://schemas.openxmlformats.org/spreadsheetml/2006/main" count="10149" uniqueCount="717">
  <si>
    <t>Acute Injury Experiments Data</t>
  </si>
  <si>
    <t>1. Summary</t>
  </si>
  <si>
    <t>Average</t>
  </si>
  <si>
    <t>Total</t>
  </si>
  <si>
    <t>% Live</t>
  </si>
  <si>
    <t># Dead</t>
  </si>
  <si>
    <t># Live</t>
  </si>
  <si>
    <t>4m-male</t>
  </si>
  <si>
    <t>Experiment</t>
  </si>
  <si>
    <t>Table of Contents</t>
  </si>
  <si>
    <t>Group</t>
  </si>
  <si>
    <t>D1</t>
  </si>
  <si>
    <t>D7</t>
  </si>
  <si>
    <t>A</t>
  </si>
  <si>
    <t>B</t>
  </si>
  <si>
    <t>C</t>
  </si>
  <si>
    <t>D</t>
  </si>
  <si>
    <t>E</t>
  </si>
  <si>
    <t>F</t>
  </si>
  <si>
    <t>G</t>
  </si>
  <si>
    <t>H</t>
  </si>
  <si>
    <t>Ctrl</t>
  </si>
  <si>
    <t>AB</t>
  </si>
  <si>
    <t>22m-male</t>
  </si>
  <si>
    <t>AI8</t>
  </si>
  <si>
    <t>AI8-D0</t>
  </si>
  <si>
    <t>D0</t>
  </si>
  <si>
    <t>AI9-D7</t>
  </si>
  <si>
    <t>AI9</t>
  </si>
  <si>
    <t>AI10-D7</t>
  </si>
  <si>
    <t>AI11-D1</t>
  </si>
  <si>
    <t>AI11</t>
  </si>
  <si>
    <t>AI12-D0</t>
  </si>
  <si>
    <t>AI13-D1</t>
  </si>
  <si>
    <t>AI12</t>
  </si>
  <si>
    <t>AI13</t>
  </si>
  <si>
    <t>D7-unload</t>
  </si>
  <si>
    <t>D7-Unload</t>
  </si>
  <si>
    <t>Age</t>
  </si>
  <si>
    <t>W1</t>
  </si>
  <si>
    <t>W2</t>
  </si>
  <si>
    <t>W3</t>
  </si>
  <si>
    <t>4m</t>
  </si>
  <si>
    <t>Tendon</t>
  </si>
  <si>
    <t>X2</t>
  </si>
  <si>
    <t>X3</t>
  </si>
  <si>
    <t>X1</t>
  </si>
  <si>
    <t>X4</t>
  </si>
  <si>
    <t>X5</t>
  </si>
  <si>
    <t>X6</t>
  </si>
  <si>
    <t>AI14</t>
  </si>
  <si>
    <t>AI16</t>
  </si>
  <si>
    <t>Wet Weights</t>
  </si>
  <si>
    <t>Dry Weights</t>
  </si>
  <si>
    <t>Sample #</t>
  </si>
  <si>
    <t>Side</t>
  </si>
  <si>
    <t>Sample</t>
  </si>
  <si>
    <t>Raw</t>
  </si>
  <si>
    <t>Δ</t>
  </si>
  <si>
    <t>AI10</t>
  </si>
  <si>
    <t>Age + Sex</t>
  </si>
  <si>
    <t>AI14-D7 (unload)</t>
  </si>
  <si>
    <t>AI16-D7</t>
  </si>
  <si>
    <t>24m</t>
  </si>
  <si>
    <t>D0 vs D1</t>
  </si>
  <si>
    <t>D1 vs D7</t>
  </si>
  <si>
    <t>D0 vs D7</t>
  </si>
  <si>
    <t>By Sample</t>
  </si>
  <si>
    <t>By Image</t>
  </si>
  <si>
    <t>Y vs A</t>
  </si>
  <si>
    <t>Y v A</t>
  </si>
  <si>
    <t>D7 comp vs unload</t>
  </si>
  <si>
    <t>Young</t>
  </si>
  <si>
    <t>Aged</t>
  </si>
  <si>
    <t>D0 v D1</t>
  </si>
  <si>
    <t>D0 v D7</t>
  </si>
  <si>
    <t>D1 v D7</t>
  </si>
  <si>
    <t>Groups</t>
  </si>
  <si>
    <t>D7 Unloaded</t>
  </si>
  <si>
    <t>%Live by sample</t>
  </si>
  <si>
    <t>D7_unload</t>
  </si>
  <si>
    <t>Mean</t>
  </si>
  <si>
    <t>St Dev</t>
  </si>
  <si>
    <t>Count</t>
  </si>
  <si>
    <t>Picogreen</t>
  </si>
  <si>
    <t>DMMB</t>
  </si>
  <si>
    <t>AI8 AI9 AI12 AI13 AI14</t>
  </si>
  <si>
    <t>Raw Values</t>
  </si>
  <si>
    <t>Minus Background</t>
  </si>
  <si>
    <t>Standard Curve</t>
  </si>
  <si>
    <t>m</t>
  </si>
  <si>
    <t>b</t>
  </si>
  <si>
    <t>4m D0</t>
  </si>
  <si>
    <t>24m-male</t>
  </si>
  <si>
    <t>24m D7</t>
  </si>
  <si>
    <t>24m D0</t>
  </si>
  <si>
    <t>24m D1</t>
  </si>
  <si>
    <t>4m D7 Unload</t>
  </si>
  <si>
    <t>Standardized to Curve</t>
  </si>
  <si>
    <t>Background Average</t>
  </si>
  <si>
    <t>Values</t>
  </si>
  <si>
    <t>Results</t>
  </si>
  <si>
    <t>Raw 540</t>
  </si>
  <si>
    <t>Raw 595</t>
  </si>
  <si>
    <t>Subtract High From Low</t>
  </si>
  <si>
    <t>3. Viability</t>
  </si>
  <si>
    <t>4. Biochem</t>
  </si>
  <si>
    <t>4.1 - Alamar Blue Raw</t>
  </si>
  <si>
    <t>4.2 - Alamar Blue Analysis</t>
  </si>
  <si>
    <t>4.3 - Picogreen</t>
  </si>
  <si>
    <t>4.4 - DMMB</t>
  </si>
  <si>
    <t>% Live - By Sample</t>
  </si>
  <si>
    <t>% Live - By Image</t>
  </si>
  <si>
    <t>AI19</t>
  </si>
  <si>
    <t>Wet weight</t>
  </si>
  <si>
    <t>Dry Weight</t>
  </si>
  <si>
    <t>DMMB (DW)</t>
  </si>
  <si>
    <t>PX1</t>
  </si>
  <si>
    <t>PX2</t>
  </si>
  <si>
    <t>PX3</t>
  </si>
  <si>
    <t>PX4</t>
  </si>
  <si>
    <t>PX5</t>
  </si>
  <si>
    <t>TX1</t>
  </si>
  <si>
    <t>TX2</t>
  </si>
  <si>
    <t>TX3</t>
  </si>
  <si>
    <t>TX4</t>
  </si>
  <si>
    <t>TX5</t>
  </si>
  <si>
    <t>AI20</t>
  </si>
  <si>
    <t>AI21</t>
  </si>
  <si>
    <t>Alamar Blue</t>
  </si>
  <si>
    <t>Limits</t>
  </si>
  <si>
    <t>OVRFLW</t>
  </si>
  <si>
    <t>Raw Plate 1</t>
  </si>
  <si>
    <t>Raw Plate 2</t>
  </si>
  <si>
    <t>Subtract bg Plate 1</t>
  </si>
  <si>
    <t xml:space="preserve">Subtract bg Plate </t>
  </si>
  <si>
    <t>Values (ug/ml)</t>
  </si>
  <si>
    <t>Values (ug)</t>
  </si>
  <si>
    <t>4.6 - Weights</t>
  </si>
  <si>
    <t>4.5 - OHP</t>
  </si>
  <si>
    <t>AI11 AI16 AI19 AI20 AI21</t>
  </si>
  <si>
    <t>Standardize to Curve</t>
  </si>
  <si>
    <t>4m D1</t>
  </si>
  <si>
    <t>4m D7</t>
  </si>
  <si>
    <t>24m D7 NC</t>
  </si>
  <si>
    <t>D7 NC</t>
  </si>
  <si>
    <t>Picogreen (DW)</t>
  </si>
  <si>
    <t>OHP (DNA)</t>
  </si>
  <si>
    <t>OHP(DW)</t>
  </si>
  <si>
    <t>4m D7 NC</t>
  </si>
  <si>
    <t>AI23</t>
  </si>
  <si>
    <t>AI22</t>
  </si>
  <si>
    <t>OHP</t>
  </si>
  <si>
    <t>AI25</t>
  </si>
  <si>
    <t>AI24</t>
  </si>
  <si>
    <t>Raw H3</t>
  </si>
  <si>
    <t>%Incorp H3</t>
  </si>
  <si>
    <t>Rate Incorp H3</t>
  </si>
  <si>
    <t>Raw S35</t>
  </si>
  <si>
    <t>%Incorp S35</t>
  </si>
  <si>
    <t>Rate Incorp S35</t>
  </si>
  <si>
    <t>S35</t>
  </si>
  <si>
    <t>Dual Label: AI16, AI19, AI20, AI21</t>
  </si>
  <si>
    <t>Avg Rate</t>
  </si>
  <si>
    <t xml:space="preserve"> </t>
  </si>
  <si>
    <t>Sample Plate</t>
  </si>
  <si>
    <t>Standard Plate</t>
  </si>
  <si>
    <t>Analysis</t>
  </si>
  <si>
    <t>Experiemnt</t>
  </si>
  <si>
    <t>% Incorp</t>
  </si>
  <si>
    <t>Rate Incorp</t>
  </si>
  <si>
    <t>Standards</t>
  </si>
  <si>
    <t>Tracer</t>
  </si>
  <si>
    <t>DNA</t>
  </si>
  <si>
    <t>DW</t>
  </si>
  <si>
    <t>Raw (ug)</t>
  </si>
  <si>
    <t>DW (ug/mg)</t>
  </si>
  <si>
    <t>Proline</t>
  </si>
  <si>
    <t>Thymidine</t>
  </si>
  <si>
    <t>Proline Incorporation</t>
  </si>
  <si>
    <t>S35 Incorporation</t>
  </si>
  <si>
    <t>Thymidine Incorporation</t>
  </si>
  <si>
    <t>Proline(DNA)</t>
  </si>
  <si>
    <t>Proline(DW)</t>
  </si>
  <si>
    <t>S35(DW)</t>
  </si>
  <si>
    <t>Thymidine(DNA)</t>
  </si>
  <si>
    <t>Thymidine(DW)</t>
  </si>
  <si>
    <t>AI24-D7 NC</t>
  </si>
  <si>
    <t>AI19-D7 NC</t>
  </si>
  <si>
    <t>Single Label: AI20, AI21</t>
  </si>
  <si>
    <t xml:space="preserve">AI8 AI9 AI12 </t>
  </si>
  <si>
    <t>AI13 AI14</t>
  </si>
  <si>
    <t>AI11 AI16 AI19</t>
  </si>
  <si>
    <t>OHP - Collagen</t>
  </si>
  <si>
    <t>DMMB (DNA)</t>
  </si>
  <si>
    <t>AI22&amp;23</t>
  </si>
  <si>
    <t>AI24&amp;25</t>
  </si>
  <si>
    <t>AI22 AI24 AI25 - S35</t>
  </si>
  <si>
    <t>AI22 AI24 AI25 - Proline</t>
  </si>
  <si>
    <t>S35(DNA)</t>
  </si>
  <si>
    <t>Avg</t>
  </si>
  <si>
    <t>H3</t>
  </si>
  <si>
    <t>ng</t>
  </si>
  <si>
    <t>pmol/hr</t>
  </si>
  <si>
    <t>GAG</t>
  </si>
  <si>
    <t>Collagen</t>
  </si>
  <si>
    <t>Collagen Synthesis</t>
  </si>
  <si>
    <t>Gag Synthesis</t>
  </si>
  <si>
    <t>Cell proliferation</t>
  </si>
  <si>
    <t>AI30-D0</t>
  </si>
  <si>
    <t>AI30</t>
  </si>
  <si>
    <t>Raw Plate 3</t>
  </si>
  <si>
    <t>Raw Plate 4</t>
  </si>
  <si>
    <t>Raw Plate 5</t>
  </si>
  <si>
    <t>D0 4m</t>
  </si>
  <si>
    <t>D7 4m</t>
  </si>
  <si>
    <t>D7 24m</t>
  </si>
  <si>
    <t>D7 4m NC</t>
  </si>
  <si>
    <t>D7 24m NC</t>
  </si>
  <si>
    <t>NC</t>
  </si>
  <si>
    <t>Young v Aged</t>
  </si>
  <si>
    <t>D7 vs NC</t>
  </si>
  <si>
    <t>T-test Matrix</t>
  </si>
  <si>
    <t>Raw Plate 6</t>
  </si>
  <si>
    <t>Raw Plate 7</t>
  </si>
  <si>
    <t>AI6</t>
  </si>
  <si>
    <t>AI7</t>
  </si>
  <si>
    <t>AI15</t>
  </si>
  <si>
    <t>AI18</t>
  </si>
  <si>
    <t>AI26</t>
  </si>
  <si>
    <t>AI27</t>
  </si>
  <si>
    <t>AI29</t>
  </si>
  <si>
    <t>SHG</t>
  </si>
  <si>
    <t>H&amp;E</t>
  </si>
  <si>
    <t>AI28</t>
  </si>
  <si>
    <t xml:space="preserve">Experiment </t>
  </si>
  <si>
    <t>H2 S1</t>
  </si>
  <si>
    <t>Im #</t>
  </si>
  <si>
    <t>H4 S3</t>
  </si>
  <si>
    <t>H2 S4</t>
  </si>
  <si>
    <t>H1 S4</t>
  </si>
  <si>
    <t>Section #</t>
  </si>
  <si>
    <t>Im</t>
  </si>
  <si>
    <t>Sec Avg</t>
  </si>
  <si>
    <t>Tend Avg</t>
  </si>
  <si>
    <t>H2-S2</t>
  </si>
  <si>
    <t>H4-S3</t>
  </si>
  <si>
    <t>H2-S1</t>
  </si>
  <si>
    <t>H2-S4</t>
  </si>
  <si>
    <t>H1-S4</t>
  </si>
  <si>
    <t>H1-S2</t>
  </si>
  <si>
    <t>H2-S3</t>
  </si>
  <si>
    <t>H1 S2</t>
  </si>
  <si>
    <t>H2 S3</t>
  </si>
  <si>
    <t>Width</t>
  </si>
  <si>
    <t>Length</t>
  </si>
  <si>
    <t>Straight</t>
  </si>
  <si>
    <t>Angle</t>
  </si>
  <si>
    <t>Slide</t>
  </si>
  <si>
    <t>Cell Count</t>
  </si>
  <si>
    <t>Cell Density (cells/um^2)</t>
  </si>
  <si>
    <t>Avg AR</t>
  </si>
  <si>
    <t>Comment</t>
  </si>
  <si>
    <t>Below average slide</t>
  </si>
  <si>
    <t>Really bad</t>
  </si>
  <si>
    <t>Great. Potential representative images</t>
  </si>
  <si>
    <t>H3 S3</t>
  </si>
  <si>
    <t>H2 S2</t>
  </si>
  <si>
    <t>H1 S3</t>
  </si>
  <si>
    <t>H3 S1</t>
  </si>
  <si>
    <t>H4 S2</t>
  </si>
  <si>
    <t>Poor. Some out of plane regions</t>
  </si>
  <si>
    <t>Pretty Decent</t>
  </si>
  <si>
    <t>Mostly poor. Some okay regions</t>
  </si>
  <si>
    <t>Not bad</t>
  </si>
  <si>
    <t>Below average</t>
  </si>
  <si>
    <t>H4 S1</t>
  </si>
  <si>
    <t>H3 S2</t>
  </si>
  <si>
    <t>H3 S5</t>
  </si>
  <si>
    <t>H4 S5</t>
  </si>
  <si>
    <t>Decent for the most part. One super crappy section, one slightly crappy section</t>
  </si>
  <si>
    <t>Pretty bad. Could be some decent regions, one of each sample is horrible</t>
  </si>
  <si>
    <t>One horrible, other 2 pretty bad</t>
  </si>
  <si>
    <t>Poor</t>
  </si>
  <si>
    <t>Beautiful</t>
  </si>
  <si>
    <t>Super unorganized fibers, bad</t>
  </si>
  <si>
    <t>Small decent regions, rest is poor</t>
  </si>
  <si>
    <t>Yikes</t>
  </si>
  <si>
    <t>Overall pretty good</t>
  </si>
  <si>
    <t>Eh</t>
  </si>
  <si>
    <t>Might be the worst one yet</t>
  </si>
  <si>
    <t>IDK probably bad</t>
  </si>
  <si>
    <t>4mD1</t>
  </si>
  <si>
    <t>Cell Density</t>
  </si>
  <si>
    <t>Cell AR</t>
  </si>
  <si>
    <t>Horrible, not using for results</t>
  </si>
  <si>
    <t>[]</t>
  </si>
  <si>
    <t>H1S3</t>
  </si>
  <si>
    <t>H1 S1</t>
  </si>
  <si>
    <t>H3 S4</t>
  </si>
  <si>
    <t>Conversion Factor (um/pix):</t>
  </si>
  <si>
    <t>Straightness</t>
  </si>
  <si>
    <t>Alignment</t>
  </si>
  <si>
    <t>'AI28_H3_S4_S1-001_Cycle00001_Ch1_000001.ome'</t>
  </si>
  <si>
    <t>'AI28_H3_S4_S1-002_Cycle00001_Ch1_000001.ome'</t>
  </si>
  <si>
    <t>'AI28_H3_S4_S1-003_Cycle00001_Ch1_000001.ome'</t>
  </si>
  <si>
    <t>'AI28_H3_S4_S1-004_Cycle00001_Ch1_000001.ome'</t>
  </si>
  <si>
    <t>'AI28_H3_S4_S2-001_Cycle00001_Ch1_000001.ome'</t>
  </si>
  <si>
    <t>'AI28_H3_S4_S2-002_Cycle00001_Ch1_000001.ome'</t>
  </si>
  <si>
    <t>'AI28_H3_S4_S2-003_Cycle00001_Ch1_000001.ome'</t>
  </si>
  <si>
    <t>'AI28_H3_S4_S3-001_Cycle00001_Ch1_000001.ome'</t>
  </si>
  <si>
    <t>'AI28_H3_S4_S3-002_Cycle00001_Ch1_000001.ome'</t>
  </si>
  <si>
    <t>'AI28_H3_S4_S3-003_Cycle00001_Ch1_000001.ome'</t>
  </si>
  <si>
    <t>P1</t>
  </si>
  <si>
    <t>P2</t>
  </si>
  <si>
    <t>P3</t>
  </si>
  <si>
    <t>P4</t>
  </si>
  <si>
    <t>P5</t>
  </si>
  <si>
    <t>P6</t>
  </si>
  <si>
    <t>260/280</t>
  </si>
  <si>
    <t>ng/µL</t>
  </si>
  <si>
    <t>Yield (ng)</t>
  </si>
  <si>
    <t>#</t>
  </si>
  <si>
    <t>A18</t>
  </si>
  <si>
    <t>H2 S5</t>
  </si>
  <si>
    <t>H4 S4</t>
  </si>
  <si>
    <t>Volume Sample</t>
  </si>
  <si>
    <t>Volume Water</t>
  </si>
  <si>
    <t>Total Volume</t>
  </si>
  <si>
    <t>Remaining Volume</t>
  </si>
  <si>
    <t>Tol Blue</t>
  </si>
  <si>
    <t>NT</t>
  </si>
  <si>
    <t>Bact</t>
  </si>
  <si>
    <t>Undetermined</t>
  </si>
  <si>
    <t>35</t>
  </si>
  <si>
    <t>Col1</t>
  </si>
  <si>
    <t>Col2</t>
  </si>
  <si>
    <t>Dcn</t>
  </si>
  <si>
    <t>Agr</t>
  </si>
  <si>
    <t>Fmod</t>
  </si>
  <si>
    <t>MMP3</t>
  </si>
  <si>
    <t>MMP13</t>
  </si>
  <si>
    <t>Sample Name</t>
  </si>
  <si>
    <t>Gene</t>
  </si>
  <si>
    <t>Cт</t>
  </si>
  <si>
    <t>Conc</t>
  </si>
  <si>
    <t>ΔCTE</t>
  </si>
  <si>
    <t>Target 1 - Plate 1</t>
  </si>
  <si>
    <t>Target 1 - Plate 2</t>
  </si>
  <si>
    <t>2</t>
  </si>
  <si>
    <t>27</t>
  </si>
  <si>
    <t>37</t>
  </si>
  <si>
    <t>16</t>
  </si>
  <si>
    <t>6</t>
  </si>
  <si>
    <t>ERR</t>
  </si>
  <si>
    <t>Target 1 - Plate 3</t>
  </si>
  <si>
    <t>17</t>
  </si>
  <si>
    <t>Target 1 - Plate 4</t>
  </si>
  <si>
    <t>36</t>
  </si>
  <si>
    <t>1</t>
  </si>
  <si>
    <t/>
  </si>
  <si>
    <t>4.7 - Rx</t>
  </si>
  <si>
    <t>AI32</t>
  </si>
  <si>
    <t>AI33</t>
  </si>
  <si>
    <t>AI34</t>
  </si>
  <si>
    <t>Great</t>
  </si>
  <si>
    <t>Decent</t>
  </si>
  <si>
    <t>Ugly</t>
  </si>
  <si>
    <t>OK</t>
  </si>
  <si>
    <t>Nice</t>
  </si>
  <si>
    <t>Rough</t>
  </si>
  <si>
    <t>I've seen worse</t>
  </si>
  <si>
    <t>Meh</t>
  </si>
  <si>
    <t>Perfect</t>
  </si>
  <si>
    <t>P7</t>
  </si>
  <si>
    <t>H1 S5</t>
  </si>
  <si>
    <t>AI35</t>
  </si>
  <si>
    <t>P8</t>
  </si>
  <si>
    <t>P9</t>
  </si>
  <si>
    <t>Low</t>
  </si>
  <si>
    <t>rough</t>
  </si>
  <si>
    <t>not great</t>
  </si>
  <si>
    <t>Score1</t>
  </si>
  <si>
    <t>Score2</t>
  </si>
  <si>
    <t>Region Size</t>
  </si>
  <si>
    <t>Score3</t>
  </si>
  <si>
    <t>51</t>
  </si>
  <si>
    <t>67</t>
  </si>
  <si>
    <t>61</t>
  </si>
  <si>
    <t>59</t>
  </si>
  <si>
    <t>60</t>
  </si>
  <si>
    <t>Target 1 - Plate 5</t>
  </si>
  <si>
    <t>62</t>
  </si>
  <si>
    <t>53</t>
  </si>
  <si>
    <t>56</t>
  </si>
  <si>
    <t>58</t>
  </si>
  <si>
    <t>57</t>
  </si>
  <si>
    <t>Target 1 - Plate 6</t>
  </si>
  <si>
    <t>Target 1 - Plate 7</t>
  </si>
  <si>
    <t>54</t>
  </si>
  <si>
    <t>64</t>
  </si>
  <si>
    <t>52</t>
  </si>
  <si>
    <t>65</t>
  </si>
  <si>
    <t>55</t>
  </si>
  <si>
    <t>Target 1 - Plate 8</t>
  </si>
  <si>
    <t>63</t>
  </si>
  <si>
    <t>68</t>
  </si>
  <si>
    <t>66</t>
  </si>
  <si>
    <t>AVG</t>
  </si>
  <si>
    <t xml:space="preserve">24m </t>
  </si>
  <si>
    <t>YvA</t>
  </si>
  <si>
    <t>Priority One Targets</t>
  </si>
  <si>
    <t>Log Relative</t>
  </si>
  <si>
    <t>D0 vs D7NC</t>
  </si>
  <si>
    <t>Data</t>
  </si>
  <si>
    <t>Averages</t>
  </si>
  <si>
    <t>T-Tests log rel</t>
  </si>
  <si>
    <t>T-Tests vs D0</t>
  </si>
  <si>
    <t>YvA NC</t>
  </si>
  <si>
    <t>wet/dry</t>
  </si>
  <si>
    <t>Wet/Dry</t>
  </si>
  <si>
    <t>MMP8</t>
  </si>
  <si>
    <t>MMP9</t>
  </si>
  <si>
    <t>Sox9</t>
  </si>
  <si>
    <t>Bgn</t>
  </si>
  <si>
    <t>IL6</t>
  </si>
  <si>
    <t>IL1B</t>
  </si>
  <si>
    <t>TNFa</t>
  </si>
  <si>
    <t>Target 2 - Plate 1</t>
  </si>
  <si>
    <t>30</t>
  </si>
  <si>
    <t>28</t>
  </si>
  <si>
    <t>19</t>
  </si>
  <si>
    <t>20</t>
  </si>
  <si>
    <t>Target 1</t>
  </si>
  <si>
    <t>Target 2</t>
  </si>
  <si>
    <t>TNF-a</t>
  </si>
  <si>
    <t>Priority Two Targets</t>
  </si>
  <si>
    <t>Target 2 - Plate 2</t>
  </si>
  <si>
    <t>Target 2 - Plate 3</t>
  </si>
  <si>
    <t>15</t>
  </si>
  <si>
    <t>5</t>
  </si>
  <si>
    <t>18</t>
  </si>
  <si>
    <t>4</t>
  </si>
  <si>
    <t>TNF</t>
  </si>
  <si>
    <t>e</t>
  </si>
  <si>
    <t>Target 2 - Plate 4</t>
  </si>
  <si>
    <t>Target 2 - Plate 5</t>
  </si>
  <si>
    <t>Target 2 - Plate 6</t>
  </si>
  <si>
    <t>Target 2 - Plate 7</t>
  </si>
  <si>
    <t>Upp</t>
  </si>
  <si>
    <t>low</t>
  </si>
  <si>
    <t>Modulus (Mpa)</t>
  </si>
  <si>
    <t>Stiffness (N/mm)</t>
  </si>
  <si>
    <t>Percent SR</t>
  </si>
  <si>
    <t>Failure Stress (Mpa)</t>
  </si>
  <si>
    <t>Failure Strain</t>
  </si>
  <si>
    <t>AI36</t>
  </si>
  <si>
    <t>AI37</t>
  </si>
  <si>
    <t>AI38</t>
  </si>
  <si>
    <t>AI39</t>
  </si>
  <si>
    <t>AI40</t>
  </si>
  <si>
    <t>AI41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</si>
  <si>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</si>
  <si>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</si>
  <si>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</si>
  <si>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</si>
  <si>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</si>
  <si>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</si>
  <si>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</si>
  <si>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</si>
  <si>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</si>
  <si>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</si>
  <si>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CSA (mm^2)</t>
  </si>
  <si>
    <t>Thick</t>
  </si>
  <si>
    <t>T-tests</t>
  </si>
  <si>
    <t>4m D0 vs D7</t>
  </si>
  <si>
    <t>4m D7 vs NC</t>
  </si>
  <si>
    <t>24m D0 vs D7</t>
  </si>
  <si>
    <t>24m D7 vs NC</t>
  </si>
  <si>
    <t>D0 vs D0</t>
  </si>
  <si>
    <t>D7 vs D7</t>
  </si>
  <si>
    <t>NC vs NC</t>
  </si>
  <si>
    <t>Water Content</t>
  </si>
  <si>
    <t>Modulus</t>
  </si>
  <si>
    <t>Stiffness</t>
  </si>
  <si>
    <t>Failure Stress</t>
  </si>
  <si>
    <t>Plate</t>
  </si>
  <si>
    <t>Standerdize to curve</t>
  </si>
  <si>
    <t>Value</t>
  </si>
  <si>
    <t>Time</t>
  </si>
  <si>
    <t>D2</t>
  </si>
  <si>
    <t>D4</t>
  </si>
  <si>
    <t>D6</t>
  </si>
  <si>
    <t xml:space="preserve">4m </t>
  </si>
  <si>
    <t>ttests</t>
  </si>
  <si>
    <t>C vs NC</t>
  </si>
  <si>
    <t>D2 v D4</t>
  </si>
  <si>
    <t>D2 v D6</t>
  </si>
  <si>
    <t>D4 v D6</t>
  </si>
  <si>
    <t>4m v 24m</t>
  </si>
  <si>
    <t>DC12</t>
  </si>
  <si>
    <t>4m D7 5%</t>
  </si>
  <si>
    <t>mean</t>
  </si>
  <si>
    <t>stdev</t>
  </si>
  <si>
    <t>count</t>
  </si>
  <si>
    <t>Experiment_2023-07-13-152056: Experiment Data Table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</si>
  <si>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</si>
  <si>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</si>
  <si>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</si>
  <si>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</si>
  <si>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</si>
  <si>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</si>
  <si>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</si>
  <si>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</si>
  <si>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</si>
  <si>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</si>
  <si>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</si>
  <si>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Assay</t>
  </si>
  <si>
    <t>Well</t>
  </si>
  <si>
    <t>Spot</t>
  </si>
  <si>
    <t>Concentration</t>
  </si>
  <si>
    <t>Signal</t>
  </si>
  <si>
    <t>Adjusted Signal</t>
  </si>
  <si>
    <t>Detection Range</t>
  </si>
  <si>
    <t>Adj. Sig. Mean</t>
  </si>
  <si>
    <t>Calc. Concentration</t>
  </si>
  <si>
    <t>Calc. Conc. Mean</t>
  </si>
  <si>
    <t>S001</t>
  </si>
  <si>
    <t>IFN-γ</t>
  </si>
  <si>
    <t>A02</t>
  </si>
  <si>
    <t>Above Fit Curve Range</t>
  </si>
  <si>
    <t>A01</t>
  </si>
  <si>
    <t>In Detection Range</t>
  </si>
  <si>
    <t>S002</t>
  </si>
  <si>
    <t>B02</t>
  </si>
  <si>
    <t>B01</t>
  </si>
  <si>
    <t>S003</t>
  </si>
  <si>
    <t>C02</t>
  </si>
  <si>
    <t>C01</t>
  </si>
  <si>
    <t>S004</t>
  </si>
  <si>
    <t>D01</t>
  </si>
  <si>
    <t>D02</t>
  </si>
  <si>
    <t>S005</t>
  </si>
  <si>
    <t>E01</t>
  </si>
  <si>
    <t>E02</t>
  </si>
  <si>
    <t>S006</t>
  </si>
  <si>
    <t>F01</t>
  </si>
  <si>
    <t>F02</t>
  </si>
  <si>
    <t>S007</t>
  </si>
  <si>
    <t>G01</t>
  </si>
  <si>
    <t>G02</t>
  </si>
  <si>
    <t>S008</t>
  </si>
  <si>
    <t>H01</t>
  </si>
  <si>
    <t>Below Fit Curve Range</t>
  </si>
  <si>
    <t>NaN</t>
  </si>
  <si>
    <t>H02</t>
  </si>
  <si>
    <t>Below Detection Range</t>
  </si>
  <si>
    <t>U001</t>
  </si>
  <si>
    <t>A04</t>
  </si>
  <si>
    <t>A03</t>
  </si>
  <si>
    <t>U002</t>
  </si>
  <si>
    <t>A05</t>
  </si>
  <si>
    <t>A06</t>
  </si>
  <si>
    <t>U003</t>
  </si>
  <si>
    <t>A07</t>
  </si>
  <si>
    <t>A08</t>
  </si>
  <si>
    <t>U004</t>
  </si>
  <si>
    <t>A10</t>
  </si>
  <si>
    <t>A09</t>
  </si>
  <si>
    <t>U005</t>
  </si>
  <si>
    <t>A12</t>
  </si>
  <si>
    <t>A11</t>
  </si>
  <si>
    <t>U006</t>
  </si>
  <si>
    <t>B03</t>
  </si>
  <si>
    <t>B04</t>
  </si>
  <si>
    <t>U007</t>
  </si>
  <si>
    <t>B05</t>
  </si>
  <si>
    <t>B06</t>
  </si>
  <si>
    <t>U008</t>
  </si>
  <si>
    <t>B07</t>
  </si>
  <si>
    <t>B08</t>
  </si>
  <si>
    <t>U009</t>
  </si>
  <si>
    <t>B09</t>
  </si>
  <si>
    <t>B10</t>
  </si>
  <si>
    <t>U010</t>
  </si>
  <si>
    <t>B12</t>
  </si>
  <si>
    <t>B11</t>
  </si>
  <si>
    <t>U011</t>
  </si>
  <si>
    <t>C04</t>
  </si>
  <si>
    <t>C03</t>
  </si>
  <si>
    <t>U012</t>
  </si>
  <si>
    <t>C06</t>
  </si>
  <si>
    <t>C05</t>
  </si>
  <si>
    <t>U013</t>
  </si>
  <si>
    <t>C07</t>
  </si>
  <si>
    <t>C08</t>
  </si>
  <si>
    <t>U014</t>
  </si>
  <si>
    <t>C10</t>
  </si>
  <si>
    <t>C09</t>
  </si>
  <si>
    <t>U015</t>
  </si>
  <si>
    <t>C12</t>
  </si>
  <si>
    <t>C11</t>
  </si>
  <si>
    <t>U016</t>
  </si>
  <si>
    <t>D03</t>
  </si>
  <si>
    <t>D04</t>
  </si>
  <si>
    <t>U017</t>
  </si>
  <si>
    <t>D05</t>
  </si>
  <si>
    <t>D06</t>
  </si>
  <si>
    <t>U018</t>
  </si>
  <si>
    <t>D07</t>
  </si>
  <si>
    <t>D08</t>
  </si>
  <si>
    <t>U019</t>
  </si>
  <si>
    <t>D09</t>
  </si>
  <si>
    <t>D10</t>
  </si>
  <si>
    <t>U020</t>
  </si>
  <si>
    <t>D12</t>
  </si>
  <si>
    <t>D11</t>
  </si>
  <si>
    <t>U021</t>
  </si>
  <si>
    <t>E04</t>
  </si>
  <si>
    <t>E03</t>
  </si>
  <si>
    <t>U022</t>
  </si>
  <si>
    <t>E06</t>
  </si>
  <si>
    <t>E05</t>
  </si>
  <si>
    <t>U023</t>
  </si>
  <si>
    <t>E07</t>
  </si>
  <si>
    <t>E08</t>
  </si>
  <si>
    <t>U024</t>
  </si>
  <si>
    <t>E10</t>
  </si>
  <si>
    <t>E09</t>
  </si>
  <si>
    <t>U025</t>
  </si>
  <si>
    <t>E12</t>
  </si>
  <si>
    <t>E11</t>
  </si>
  <si>
    <t>U026</t>
  </si>
  <si>
    <t>F04</t>
  </si>
  <si>
    <t>F03</t>
  </si>
  <si>
    <t>U027</t>
  </si>
  <si>
    <t>F05</t>
  </si>
  <si>
    <t>F06</t>
  </si>
  <si>
    <t>U028</t>
  </si>
  <si>
    <t>F07</t>
  </si>
  <si>
    <t>F08</t>
  </si>
  <si>
    <t>U029</t>
  </si>
  <si>
    <t>F09</t>
  </si>
  <si>
    <t>F10</t>
  </si>
  <si>
    <t>U030</t>
  </si>
  <si>
    <t>F12</t>
  </si>
  <si>
    <t>F11</t>
  </si>
  <si>
    <t>U031</t>
  </si>
  <si>
    <t>G03</t>
  </si>
  <si>
    <t>G04</t>
  </si>
  <si>
    <t>U032</t>
  </si>
  <si>
    <t>G06</t>
  </si>
  <si>
    <t>G05</t>
  </si>
  <si>
    <t>U033</t>
  </si>
  <si>
    <t>G08</t>
  </si>
  <si>
    <t>G07</t>
  </si>
  <si>
    <t>U034</t>
  </si>
  <si>
    <t>G10</t>
  </si>
  <si>
    <t>G09</t>
  </si>
  <si>
    <t>U035</t>
  </si>
  <si>
    <t>G12</t>
  </si>
  <si>
    <t>G11</t>
  </si>
  <si>
    <t>U036</t>
  </si>
  <si>
    <t>H04</t>
  </si>
  <si>
    <t>H03</t>
  </si>
  <si>
    <t>U037</t>
  </si>
  <si>
    <t>H06</t>
  </si>
  <si>
    <t>H05</t>
  </si>
  <si>
    <t>U038</t>
  </si>
  <si>
    <t>H08</t>
  </si>
  <si>
    <t>H07</t>
  </si>
  <si>
    <t>U039</t>
  </si>
  <si>
    <t>H09</t>
  </si>
  <si>
    <t>H10</t>
  </si>
  <si>
    <t>U040</t>
  </si>
  <si>
    <t>H12</t>
  </si>
  <si>
    <t>H11</t>
  </si>
  <si>
    <t>IL-1β</t>
  </si>
  <si>
    <t>IL-6</t>
  </si>
  <si>
    <t>KC/GRO</t>
  </si>
  <si>
    <t>IL-10</t>
  </si>
  <si>
    <t>IL-12p70</t>
  </si>
  <si>
    <t>TNF-α</t>
  </si>
  <si>
    <t>Average of Calc. Concentration</t>
  </si>
  <si>
    <t>Column Labels</t>
  </si>
  <si>
    <t>Row Labels</t>
  </si>
  <si>
    <t>Grand Total</t>
  </si>
  <si>
    <t>4.8 - MMP Activity</t>
  </si>
  <si>
    <t>6. Histology</t>
  </si>
  <si>
    <t>7. PCR</t>
  </si>
  <si>
    <t>5. MSD</t>
  </si>
  <si>
    <t>5.1 - MSD Raw Data</t>
  </si>
  <si>
    <t>5.2 - MSD Pivot Table</t>
  </si>
  <si>
    <t>5.3 - MSD Analysis</t>
  </si>
  <si>
    <t>8. Mechanics</t>
  </si>
  <si>
    <t>2. Data Statistics</t>
  </si>
  <si>
    <t>6.1 - H&amp;E</t>
  </si>
  <si>
    <t>6.2 - SHG</t>
  </si>
  <si>
    <t>6.3 - TolBlue</t>
  </si>
  <si>
    <t>7.1 - PCR Results</t>
  </si>
  <si>
    <t>7.2 - Gene Expression</t>
  </si>
  <si>
    <t>7.3 - PCR Raw Data</t>
  </si>
  <si>
    <t>Day</t>
  </si>
  <si>
    <t>Stats</t>
  </si>
  <si>
    <t>Value 5Fam</t>
  </si>
  <si>
    <t>Value RFU</t>
  </si>
  <si>
    <t>5FAM</t>
  </si>
  <si>
    <t>RFU</t>
  </si>
  <si>
    <t>I</t>
  </si>
  <si>
    <t>J</t>
  </si>
  <si>
    <t>AI42</t>
  </si>
  <si>
    <t>X7</t>
  </si>
  <si>
    <t>X8</t>
  </si>
  <si>
    <t>X9</t>
  </si>
  <si>
    <t>X10</t>
  </si>
  <si>
    <t>AI43</t>
  </si>
  <si>
    <t>AI42 AI43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</si>
</sst>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"/>
    <numFmt numFmtId="167" formatCode="0.00000"/>
    <numFmt numFmtId="168" formatCode="0.00000000"/>
    <numFmt numFmtId="169" formatCode="0.00000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874">
    <xf numFmtId="0" fontId="0" fillId="0" borderId="0" xfId="0"/>
    <xf numFmtId="0" fontId="1" fillId="0" borderId="0" xfId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2" fillId="3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0" xfId="0" applyFont="1"/>
    <xf numFmtId="0" fontId="0" fillId="0" borderId="49" xfId="0" applyBorder="1"/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" fontId="0" fillId="0" borderId="13" xfId="0" applyNumberFormat="1" applyBorder="1"/>
    <xf numFmtId="0" fontId="0" fillId="16" borderId="0" xfId="0" applyFill="1" applyAlignment="1">
      <alignment horizontal="center"/>
    </xf>
    <xf numFmtId="0" fontId="0" fillId="16" borderId="34" xfId="0" applyFill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16" borderId="42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" fontId="0" fillId="0" borderId="3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34" xfId="0" applyBorder="1"/>
    <xf numFmtId="0" fontId="0" fillId="0" borderId="29" xfId="0" applyBorder="1"/>
    <xf numFmtId="0" fontId="0" fillId="0" borderId="57" xfId="0" applyBorder="1"/>
    <xf numFmtId="164" fontId="0" fillId="0" borderId="8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 wrapText="1"/>
    </xf>
    <xf numFmtId="164" fontId="0" fillId="0" borderId="13" xfId="0" applyNumberFormat="1" applyBorder="1"/>
    <xf numFmtId="0" fontId="0" fillId="0" borderId="2" xfId="0" applyBorder="1"/>
    <xf numFmtId="0" fontId="0" fillId="0" borderId="62" xfId="0" applyBorder="1"/>
    <xf numFmtId="0" fontId="0" fillId="0" borderId="58" xfId="0" applyBorder="1"/>
    <xf numFmtId="0" fontId="0" fillId="0" borderId="61" xfId="0" applyBorder="1"/>
    <xf numFmtId="164" fontId="0" fillId="0" borderId="34" xfId="0" applyNumberFormat="1" applyBorder="1"/>
    <xf numFmtId="0" fontId="5" fillId="0" borderId="63" xfId="0" applyFont="1" applyBorder="1" applyAlignment="1">
      <alignment horizontal="center"/>
    </xf>
    <xf numFmtId="0" fontId="0" fillId="0" borderId="64" xfId="0" applyBorder="1"/>
    <xf numFmtId="0" fontId="0" fillId="0" borderId="56" xfId="0" applyBorder="1"/>
    <xf numFmtId="0" fontId="0" fillId="0" borderId="52" xfId="0" applyBorder="1"/>
    <xf numFmtId="0" fontId="0" fillId="0" borderId="63" xfId="0" applyBorder="1"/>
    <xf numFmtId="164" fontId="0" fillId="0" borderId="29" xfId="0" applyNumberFormat="1" applyBorder="1"/>
    <xf numFmtId="0" fontId="0" fillId="0" borderId="65" xfId="0" applyBorder="1"/>
    <xf numFmtId="164" fontId="0" fillId="0" borderId="64" xfId="0" applyNumberFormat="1" applyBorder="1"/>
    <xf numFmtId="164" fontId="0" fillId="0" borderId="56" xfId="0" applyNumberFormat="1" applyBorder="1"/>
    <xf numFmtId="0" fontId="0" fillId="0" borderId="66" xfId="0" applyBorder="1" applyAlignment="1">
      <alignment horizontal="center"/>
    </xf>
    <xf numFmtId="164" fontId="0" fillId="0" borderId="38" xfId="0" applyNumberFormat="1" applyBorder="1"/>
    <xf numFmtId="164" fontId="0" fillId="0" borderId="39" xfId="0" applyNumberFormat="1" applyBorder="1"/>
    <xf numFmtId="164" fontId="7" fillId="0" borderId="0" xfId="0" applyNumberFormat="1" applyFont="1"/>
    <xf numFmtId="0" fontId="7" fillId="0" borderId="0" xfId="0" applyFont="1"/>
    <xf numFmtId="164" fontId="7" fillId="0" borderId="5" xfId="0" applyNumberFormat="1" applyFont="1" applyBorder="1"/>
    <xf numFmtId="0" fontId="3" fillId="18" borderId="16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16" borderId="10" xfId="0" applyFill="1" applyBorder="1"/>
    <xf numFmtId="0" fontId="0" fillId="16" borderId="40" xfId="0" applyFill="1" applyBorder="1" applyAlignment="1">
      <alignment horizontal="center"/>
    </xf>
    <xf numFmtId="0" fontId="0" fillId="16" borderId="5" xfId="0" applyFill="1" applyBorder="1"/>
    <xf numFmtId="164" fontId="0" fillId="16" borderId="5" xfId="0" applyNumberFormat="1" applyFill="1" applyBorder="1"/>
    <xf numFmtId="0" fontId="0" fillId="16" borderId="35" xfId="0" applyFill="1" applyBorder="1" applyAlignment="1">
      <alignment horizontal="center"/>
    </xf>
    <xf numFmtId="164" fontId="0" fillId="16" borderId="0" xfId="0" applyNumberFormat="1" applyFill="1"/>
    <xf numFmtId="0" fontId="3" fillId="14" borderId="23" xfId="0" applyFont="1" applyFill="1" applyBorder="1" applyAlignment="1">
      <alignment horizontal="center" vertical="center" wrapText="1"/>
    </xf>
    <xf numFmtId="0" fontId="3" fillId="19" borderId="23" xfId="0" applyFont="1" applyFill="1" applyBorder="1" applyAlignment="1">
      <alignment horizontal="center" vertical="center" wrapText="1"/>
    </xf>
    <xf numFmtId="165" fontId="3" fillId="5" borderId="16" xfId="0" applyNumberFormat="1" applyFont="1" applyFill="1" applyBorder="1" applyAlignment="1">
      <alignment horizontal="center" vertical="center" wrapText="1"/>
    </xf>
    <xf numFmtId="164" fontId="3" fillId="5" borderId="16" xfId="0" applyNumberFormat="1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2" fontId="0" fillId="0" borderId="0" xfId="0" applyNumberFormat="1"/>
    <xf numFmtId="0" fontId="2" fillId="3" borderId="69" xfId="0" applyFont="1" applyFill="1" applyBorder="1" applyAlignment="1">
      <alignment horizontal="center" vertical="center" wrapText="1"/>
    </xf>
    <xf numFmtId="0" fontId="0" fillId="3" borderId="70" xfId="0" applyFill="1" applyBorder="1" applyAlignment="1">
      <alignment vertical="center" wrapText="1"/>
    </xf>
    <xf numFmtId="165" fontId="3" fillId="5" borderId="21" xfId="0" applyNumberFormat="1" applyFont="1" applyFill="1" applyBorder="1" applyAlignment="1">
      <alignment horizontal="center" vertical="center" wrapText="1"/>
    </xf>
    <xf numFmtId="0" fontId="2" fillId="3" borderId="71" xfId="0" applyFont="1" applyFill="1" applyBorder="1" applyAlignment="1">
      <alignment horizontal="center" vertical="center" wrapText="1"/>
    </xf>
    <xf numFmtId="165" fontId="3" fillId="5" borderId="23" xfId="0" applyNumberFormat="1" applyFont="1" applyFill="1" applyBorder="1" applyAlignment="1">
      <alignment horizontal="center" vertical="center" wrapText="1"/>
    </xf>
    <xf numFmtId="165" fontId="3" fillId="5" borderId="24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35" xfId="0" applyBorder="1"/>
    <xf numFmtId="0" fontId="0" fillId="0" borderId="73" xfId="0" applyBorder="1"/>
    <xf numFmtId="0" fontId="0" fillId="0" borderId="31" xfId="0" applyBorder="1"/>
    <xf numFmtId="165" fontId="3" fillId="0" borderId="0" xfId="0" applyNumberFormat="1" applyFont="1" applyAlignment="1">
      <alignment horizontal="center" vertical="center" wrapText="1"/>
    </xf>
    <xf numFmtId="0" fontId="2" fillId="3" borderId="75" xfId="0" applyFont="1" applyFill="1" applyBorder="1" applyAlignment="1">
      <alignment horizontal="center" vertical="center" wrapText="1"/>
    </xf>
    <xf numFmtId="165" fontId="3" fillId="5" borderId="76" xfId="0" applyNumberFormat="1" applyFont="1" applyFill="1" applyBorder="1" applyAlignment="1">
      <alignment horizontal="center" vertical="center" wrapText="1"/>
    </xf>
    <xf numFmtId="0" fontId="0" fillId="0" borderId="74" xfId="0" applyBorder="1"/>
    <xf numFmtId="0" fontId="0" fillId="0" borderId="26" xfId="0" applyBorder="1"/>
    <xf numFmtId="165" fontId="3" fillId="0" borderId="6" xfId="0" applyNumberFormat="1" applyFont="1" applyBorder="1" applyAlignment="1">
      <alignment horizontal="center" vertical="center" wrapText="1"/>
    </xf>
    <xf numFmtId="165" fontId="3" fillId="0" borderId="45" xfId="0" applyNumberFormat="1" applyFont="1" applyBorder="1" applyAlignment="1">
      <alignment horizontal="center" vertical="center" wrapText="1"/>
    </xf>
    <xf numFmtId="165" fontId="0" fillId="0" borderId="13" xfId="0" applyNumberFormat="1" applyBorder="1"/>
    <xf numFmtId="0" fontId="0" fillId="0" borderId="67" xfId="0" applyBorder="1"/>
    <xf numFmtId="165" fontId="0" fillId="0" borderId="73" xfId="0" applyNumberFormat="1" applyBorder="1"/>
    <xf numFmtId="165" fontId="0" fillId="0" borderId="35" xfId="0" applyNumberFormat="1" applyBorder="1"/>
    <xf numFmtId="164" fontId="0" fillId="0" borderId="35" xfId="0" applyNumberFormat="1" applyBorder="1"/>
    <xf numFmtId="165" fontId="0" fillId="0" borderId="31" xfId="0" applyNumberFormat="1" applyBorder="1"/>
    <xf numFmtId="165" fontId="0" fillId="0" borderId="68" xfId="0" applyNumberFormat="1" applyBorder="1"/>
    <xf numFmtId="165" fontId="0" fillId="0" borderId="27" xfId="0" applyNumberFormat="1" applyBorder="1"/>
    <xf numFmtId="0" fontId="0" fillId="0" borderId="68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83" xfId="0" applyFont="1" applyBorder="1" applyAlignment="1">
      <alignment horizontal="center" vertical="center" wrapText="1"/>
    </xf>
    <xf numFmtId="165" fontId="3" fillId="0" borderId="8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0" fillId="0" borderId="27" xfId="0" applyBorder="1"/>
    <xf numFmtId="0" fontId="0" fillId="0" borderId="72" xfId="0" applyBorder="1"/>
    <xf numFmtId="0" fontId="0" fillId="0" borderId="84" xfId="0" applyBorder="1"/>
    <xf numFmtId="0" fontId="0" fillId="0" borderId="78" xfId="0" applyBorder="1"/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165" fontId="3" fillId="0" borderId="40" xfId="0" applyNumberFormat="1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2" fontId="0" fillId="0" borderId="8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" fontId="0" fillId="0" borderId="87" xfId="0" applyNumberFormat="1" applyBorder="1" applyAlignment="1">
      <alignment horizontal="center" vertical="center"/>
    </xf>
    <xf numFmtId="2" fontId="0" fillId="0" borderId="77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" fontId="0" fillId="0" borderId="78" xfId="0" applyNumberFormat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2" borderId="77" xfId="0" applyNumberForma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6" borderId="10" xfId="0" applyFill="1" applyBorder="1" applyAlignment="1">
      <alignment horizontal="center"/>
    </xf>
    <xf numFmtId="2" fontId="0" fillId="0" borderId="34" xfId="0" applyNumberFormat="1" applyBorder="1"/>
    <xf numFmtId="2" fontId="0" fillId="0" borderId="29" xfId="0" applyNumberFormat="1" applyBorder="1"/>
    <xf numFmtId="2" fontId="0" fillId="0" borderId="33" xfId="0" applyNumberFormat="1" applyBorder="1"/>
    <xf numFmtId="0" fontId="0" fillId="0" borderId="40" xfId="0" applyBorder="1"/>
    <xf numFmtId="0" fontId="0" fillId="0" borderId="91" xfId="0" applyBorder="1"/>
    <xf numFmtId="2" fontId="0" fillId="0" borderId="35" xfId="0" applyNumberFormat="1" applyBorder="1"/>
    <xf numFmtId="2" fontId="0" fillId="0" borderId="40" xfId="0" applyNumberFormat="1" applyBorder="1"/>
    <xf numFmtId="2" fontId="0" fillId="0" borderId="91" xfId="0" applyNumberFormat="1" applyBorder="1"/>
    <xf numFmtId="0" fontId="0" fillId="0" borderId="92" xfId="0" applyBorder="1" applyAlignment="1">
      <alignment horizontal="center"/>
    </xf>
    <xf numFmtId="2" fontId="0" fillId="0" borderId="44" xfId="0" applyNumberFormat="1" applyBorder="1"/>
    <xf numFmtId="2" fontId="0" fillId="0" borderId="13" xfId="0" applyNumberFormat="1" applyBorder="1"/>
    <xf numFmtId="0" fontId="0" fillId="0" borderId="44" xfId="0" applyBorder="1"/>
    <xf numFmtId="0" fontId="0" fillId="0" borderId="45" xfId="0" applyBorder="1"/>
    <xf numFmtId="2" fontId="0" fillId="0" borderId="5" xfId="0" applyNumberFormat="1" applyBorder="1"/>
    <xf numFmtId="0" fontId="3" fillId="20" borderId="16" xfId="0" applyFont="1" applyFill="1" applyBorder="1" applyAlignment="1">
      <alignment horizontal="center" vertical="center" wrapText="1"/>
    </xf>
    <xf numFmtId="166" fontId="3" fillId="5" borderId="16" xfId="0" applyNumberFormat="1" applyFont="1" applyFill="1" applyBorder="1" applyAlignment="1">
      <alignment horizontal="center" vertical="center" wrapText="1"/>
    </xf>
    <xf numFmtId="166" fontId="0" fillId="0" borderId="10" xfId="0" applyNumberFormat="1" applyBorder="1"/>
    <xf numFmtId="165" fontId="3" fillId="0" borderId="92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7" fontId="3" fillId="0" borderId="16" xfId="0" applyNumberFormat="1" applyFont="1" applyBorder="1" applyAlignment="1">
      <alignment horizontal="center" vertical="center" wrapText="1"/>
    </xf>
    <xf numFmtId="166" fontId="3" fillId="0" borderId="76" xfId="0" applyNumberFormat="1" applyFont="1" applyBorder="1" applyAlignment="1">
      <alignment horizontal="center" vertical="center" wrapText="1"/>
    </xf>
    <xf numFmtId="167" fontId="0" fillId="0" borderId="38" xfId="0" applyNumberFormat="1" applyBorder="1"/>
    <xf numFmtId="167" fontId="0" fillId="0" borderId="26" xfId="0" applyNumberFormat="1" applyBorder="1"/>
    <xf numFmtId="165" fontId="3" fillId="0" borderId="16" xfId="0" applyNumberFormat="1" applyFont="1" applyBorder="1" applyAlignment="1">
      <alignment horizontal="center" vertical="center" wrapText="1"/>
    </xf>
    <xf numFmtId="167" fontId="3" fillId="0" borderId="21" xfId="0" applyNumberFormat="1" applyFont="1" applyBorder="1" applyAlignment="1">
      <alignment horizontal="center" vertical="center" wrapText="1"/>
    </xf>
    <xf numFmtId="167" fontId="3" fillId="0" borderId="23" xfId="0" applyNumberFormat="1" applyFont="1" applyBorder="1" applyAlignment="1">
      <alignment horizontal="center" vertical="center" wrapText="1"/>
    </xf>
    <xf numFmtId="167" fontId="3" fillId="0" borderId="24" xfId="0" applyNumberFormat="1" applyFont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167" fontId="0" fillId="0" borderId="73" xfId="0" applyNumberFormat="1" applyBorder="1"/>
    <xf numFmtId="167" fontId="0" fillId="0" borderId="35" xfId="0" applyNumberFormat="1" applyBorder="1"/>
    <xf numFmtId="167" fontId="0" fillId="0" borderId="31" xfId="0" applyNumberFormat="1" applyBorder="1"/>
    <xf numFmtId="167" fontId="0" fillId="0" borderId="91" xfId="0" applyNumberFormat="1" applyBorder="1"/>
    <xf numFmtId="0" fontId="0" fillId="3" borderId="69" xfId="0" applyFill="1" applyBorder="1" applyAlignment="1">
      <alignment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93" xfId="0" applyFont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0" fillId="17" borderId="38" xfId="0" applyFill="1" applyBorder="1" applyAlignment="1">
      <alignment horizontal="center"/>
    </xf>
    <xf numFmtId="0" fontId="0" fillId="17" borderId="38" xfId="0" applyFill="1" applyBorder="1"/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92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39" xfId="0" applyNumberFormat="1" applyBorder="1"/>
    <xf numFmtId="2" fontId="0" fillId="0" borderId="66" xfId="0" applyNumberFormat="1" applyBorder="1"/>
    <xf numFmtId="2" fontId="0" fillId="0" borderId="83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0" fillId="0" borderId="78" xfId="0" applyBorder="1" applyAlignment="1">
      <alignment horizontal="center"/>
    </xf>
    <xf numFmtId="2" fontId="0" fillId="0" borderId="77" xfId="0" applyNumberFormat="1" applyBorder="1"/>
    <xf numFmtId="0" fontId="0" fillId="0" borderId="30" xfId="0" applyBorder="1"/>
    <xf numFmtId="2" fontId="0" fillId="0" borderId="62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94" xfId="0" applyNumberFormat="1" applyBorder="1" applyAlignment="1">
      <alignment horizontal="center" vertical="center"/>
    </xf>
    <xf numFmtId="11" fontId="0" fillId="0" borderId="0" xfId="0" applyNumberFormat="1"/>
    <xf numFmtId="11" fontId="0" fillId="0" borderId="13" xfId="0" applyNumberFormat="1" applyBorder="1"/>
    <xf numFmtId="0" fontId="0" fillId="0" borderId="77" xfId="0" applyBorder="1"/>
    <xf numFmtId="11" fontId="0" fillId="0" borderId="27" xfId="0" applyNumberFormat="1" applyBorder="1"/>
    <xf numFmtId="0" fontId="0" fillId="0" borderId="47" xfId="0" applyBorder="1"/>
    <xf numFmtId="0" fontId="0" fillId="0" borderId="81" xfId="0" applyBorder="1"/>
    <xf numFmtId="0" fontId="0" fillId="0" borderId="9" xfId="0" applyBorder="1"/>
    <xf numFmtId="0" fontId="0" fillId="0" borderId="12" xfId="0" applyBorder="1"/>
    <xf numFmtId="0" fontId="0" fillId="0" borderId="93" xfId="0" applyBorder="1"/>
    <xf numFmtId="0" fontId="0" fillId="0" borderId="82" xfId="0" applyBorder="1"/>
    <xf numFmtId="0" fontId="0" fillId="0" borderId="98" xfId="0" applyBorder="1"/>
    <xf numFmtId="0" fontId="0" fillId="0" borderId="99" xfId="0" applyBorder="1"/>
    <xf numFmtId="0" fontId="0" fillId="0" borderId="92" xfId="0" applyBorder="1"/>
    <xf numFmtId="0" fontId="0" fillId="0" borderId="68" xfId="0" applyBorder="1"/>
    <xf numFmtId="0" fontId="0" fillId="0" borderId="57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21" borderId="0" xfId="0" applyFill="1"/>
    <xf numFmtId="0" fontId="0" fillId="21" borderId="35" xfId="0" applyFill="1" applyBorder="1"/>
    <xf numFmtId="2" fontId="0" fillId="21" borderId="35" xfId="0" applyNumberFormat="1" applyFill="1" applyBorder="1"/>
    <xf numFmtId="0" fontId="0" fillId="21" borderId="1" xfId="0" applyFill="1" applyBorder="1"/>
    <xf numFmtId="2" fontId="0" fillId="21" borderId="91" xfId="0" applyNumberFormat="1" applyFill="1" applyBorder="1"/>
    <xf numFmtId="0" fontId="0" fillId="21" borderId="13" xfId="0" applyFill="1" applyBorder="1"/>
    <xf numFmtId="2" fontId="0" fillId="21" borderId="13" xfId="0" applyNumberFormat="1" applyFill="1" applyBorder="1"/>
    <xf numFmtId="0" fontId="0" fillId="21" borderId="91" xfId="0" applyFill="1" applyBorder="1"/>
    <xf numFmtId="0" fontId="0" fillId="21" borderId="5" xfId="0" applyFill="1" applyBorder="1"/>
    <xf numFmtId="0" fontId="0" fillId="21" borderId="40" xfId="0" applyFill="1" applyBorder="1"/>
    <xf numFmtId="0" fontId="0" fillId="21" borderId="27" xfId="0" applyFill="1" applyBorder="1"/>
    <xf numFmtId="0" fontId="0" fillId="21" borderId="31" xfId="0" applyFill="1" applyBorder="1"/>
    <xf numFmtId="2" fontId="0" fillId="21" borderId="5" xfId="0" applyNumberFormat="1" applyFill="1" applyBorder="1"/>
    <xf numFmtId="2" fontId="0" fillId="21" borderId="40" xfId="0" applyNumberFormat="1" applyFill="1" applyBorder="1"/>
    <xf numFmtId="2" fontId="0" fillId="21" borderId="27" xfId="0" applyNumberFormat="1" applyFill="1" applyBorder="1"/>
    <xf numFmtId="2" fontId="0" fillId="21" borderId="31" xfId="0" applyNumberFormat="1" applyFill="1" applyBorder="1"/>
    <xf numFmtId="0" fontId="0" fillId="0" borderId="1" xfId="0" applyBorder="1" applyAlignment="1">
      <alignment horizontal="center"/>
    </xf>
    <xf numFmtId="0" fontId="0" fillId="0" borderId="83" xfId="0" applyBorder="1" applyAlignment="1">
      <alignment horizontal="center"/>
    </xf>
    <xf numFmtId="2" fontId="0" fillId="0" borderId="37" xfId="0" applyNumberFormat="1" applyBorder="1"/>
    <xf numFmtId="2" fontId="0" fillId="0" borderId="14" xfId="0" applyNumberFormat="1" applyBorder="1"/>
    <xf numFmtId="1" fontId="0" fillId="0" borderId="27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27" xfId="0" applyNumberFormat="1" applyBorder="1"/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2" fontId="0" fillId="21" borderId="47" xfId="0" applyNumberFormat="1" applyFill="1" applyBorder="1" applyAlignment="1">
      <alignment horizontal="center" vertical="center"/>
    </xf>
    <xf numFmtId="2" fontId="0" fillId="21" borderId="44" xfId="0" applyNumberFormat="1" applyFill="1" applyBorder="1" applyAlignment="1">
      <alignment horizontal="center" vertical="center"/>
    </xf>
    <xf numFmtId="2" fontId="0" fillId="21" borderId="77" xfId="0" applyNumberFormat="1" applyFill="1" applyBorder="1" applyAlignment="1">
      <alignment horizontal="center" vertical="center"/>
    </xf>
    <xf numFmtId="2" fontId="0" fillId="21" borderId="27" xfId="0" applyNumberFormat="1" applyFill="1" applyBorder="1" applyAlignment="1">
      <alignment horizontal="center" vertical="center"/>
    </xf>
    <xf numFmtId="1" fontId="0" fillId="21" borderId="27" xfId="0" applyNumberFormat="1" applyFill="1" applyBorder="1" applyAlignment="1">
      <alignment horizontal="center" vertical="center"/>
    </xf>
    <xf numFmtId="2" fontId="0" fillId="21" borderId="45" xfId="0" applyNumberFormat="1" applyFill="1" applyBorder="1" applyAlignment="1">
      <alignment horizontal="center" vertical="center"/>
    </xf>
    <xf numFmtId="1" fontId="0" fillId="21" borderId="78" xfId="0" applyNumberFormat="1" applyFill="1" applyBorder="1" applyAlignment="1">
      <alignment horizontal="center" vertical="center"/>
    </xf>
    <xf numFmtId="0" fontId="0" fillId="21" borderId="44" xfId="0" applyFill="1" applyBorder="1"/>
    <xf numFmtId="0" fontId="0" fillId="21" borderId="83" xfId="0" applyFill="1" applyBorder="1"/>
    <xf numFmtId="0" fontId="0" fillId="21" borderId="45" xfId="0" applyFill="1" applyBorder="1"/>
    <xf numFmtId="0" fontId="0" fillId="0" borderId="30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5" borderId="7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165" fontId="3" fillId="0" borderId="37" xfId="0" applyNumberFormat="1" applyFont="1" applyBorder="1" applyAlignment="1">
      <alignment horizontal="center" vertical="center" wrapText="1"/>
    </xf>
    <xf numFmtId="0" fontId="3" fillId="5" borderId="102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67" fontId="0" fillId="0" borderId="39" xfId="0" applyNumberFormat="1" applyBorder="1"/>
    <xf numFmtId="0" fontId="3" fillId="18" borderId="23" xfId="0" applyFont="1" applyFill="1" applyBorder="1" applyAlignment="1">
      <alignment horizontal="center" vertical="center" wrapText="1"/>
    </xf>
    <xf numFmtId="164" fontId="3" fillId="5" borderId="21" xfId="0" applyNumberFormat="1" applyFont="1" applyFill="1" applyBorder="1" applyAlignment="1">
      <alignment horizontal="center" vertical="center" wrapText="1"/>
    </xf>
    <xf numFmtId="164" fontId="3" fillId="5" borderId="23" xfId="0" applyNumberFormat="1" applyFont="1" applyFill="1" applyBorder="1" applyAlignment="1">
      <alignment horizontal="center" vertical="center" wrapText="1"/>
    </xf>
    <xf numFmtId="164" fontId="3" fillId="5" borderId="24" xfId="0" applyNumberFormat="1" applyFont="1" applyFill="1" applyBorder="1" applyAlignment="1">
      <alignment horizontal="center" vertical="center" wrapText="1"/>
    </xf>
    <xf numFmtId="164" fontId="0" fillId="0" borderId="68" xfId="0" applyNumberFormat="1" applyBorder="1"/>
    <xf numFmtId="0" fontId="0" fillId="0" borderId="3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4" xfId="0" applyBorder="1" applyAlignment="1">
      <alignment vertical="center"/>
    </xf>
    <xf numFmtId="0" fontId="3" fillId="10" borderId="21" xfId="0" applyFont="1" applyFill="1" applyBorder="1" applyAlignment="1">
      <alignment horizontal="center" vertical="center" wrapText="1"/>
    </xf>
    <xf numFmtId="0" fontId="3" fillId="12" borderId="76" xfId="0" applyFont="1" applyFill="1" applyBorder="1" applyAlignment="1">
      <alignment horizontal="center" vertical="center" wrapText="1"/>
    </xf>
    <xf numFmtId="0" fontId="3" fillId="15" borderId="76" xfId="0" applyFont="1" applyFill="1" applyBorder="1" applyAlignment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5" borderId="21" xfId="0" applyNumberFormat="1" applyFont="1" applyFill="1" applyBorder="1" applyAlignment="1">
      <alignment horizontal="center" vertical="center" wrapText="1"/>
    </xf>
    <xf numFmtId="167" fontId="3" fillId="5" borderId="23" xfId="0" applyNumberFormat="1" applyFont="1" applyFill="1" applyBorder="1" applyAlignment="1">
      <alignment horizontal="center" vertical="center" wrapText="1"/>
    </xf>
    <xf numFmtId="167" fontId="3" fillId="5" borderId="24" xfId="0" applyNumberFormat="1" applyFont="1" applyFill="1" applyBorder="1" applyAlignment="1">
      <alignment horizontal="center" vertical="center" wrapText="1"/>
    </xf>
    <xf numFmtId="0" fontId="0" fillId="22" borderId="0" xfId="0" applyFill="1"/>
    <xf numFmtId="0" fontId="0" fillId="0" borderId="79" xfId="0" applyBorder="1"/>
    <xf numFmtId="0" fontId="0" fillId="0" borderId="89" xfId="0" applyBorder="1"/>
    <xf numFmtId="0" fontId="0" fillId="0" borderId="41" xfId="0" applyBorder="1"/>
    <xf numFmtId="0" fontId="0" fillId="0" borderId="100" xfId="0" applyBorder="1"/>
    <xf numFmtId="0" fontId="0" fillId="0" borderId="28" xfId="0" applyBorder="1" applyAlignment="1">
      <alignment horizontal="center" vertical="center"/>
    </xf>
    <xf numFmtId="2" fontId="0" fillId="21" borderId="0" xfId="0" applyNumberFormat="1" applyFill="1"/>
    <xf numFmtId="165" fontId="0" fillId="0" borderId="27" xfId="0" applyNumberFormat="1" applyBorder="1" applyAlignment="1">
      <alignment horizontal="center" vertical="center"/>
    </xf>
    <xf numFmtId="165" fontId="0" fillId="0" borderId="49" xfId="0" applyNumberFormat="1" applyBorder="1" applyAlignment="1">
      <alignment horizontal="center" vertical="center"/>
    </xf>
    <xf numFmtId="165" fontId="0" fillId="21" borderId="27" xfId="0" applyNumberFormat="1" applyFill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77" xfId="0" applyNumberFormat="1" applyBorder="1" applyAlignment="1">
      <alignment horizontal="center" vertical="center"/>
    </xf>
    <xf numFmtId="165" fontId="0" fillId="0" borderId="62" xfId="0" applyNumberFormat="1" applyBorder="1" applyAlignment="1">
      <alignment horizontal="center" vertical="center"/>
    </xf>
    <xf numFmtId="165" fontId="0" fillId="21" borderId="77" xfId="0" applyNumberFormat="1" applyFill="1" applyBorder="1" applyAlignment="1">
      <alignment horizontal="center" vertical="center"/>
    </xf>
    <xf numFmtId="165" fontId="0" fillId="0" borderId="8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7" fontId="0" fillId="0" borderId="77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0" fillId="0" borderId="62" xfId="0" applyNumberFormat="1" applyBorder="1" applyAlignment="1">
      <alignment horizontal="center" vertical="center"/>
    </xf>
    <xf numFmtId="167" fontId="0" fillId="0" borderId="49" xfId="0" applyNumberFormat="1" applyBorder="1" applyAlignment="1">
      <alignment horizontal="center" vertical="center"/>
    </xf>
    <xf numFmtId="167" fontId="0" fillId="21" borderId="77" xfId="0" applyNumberFormat="1" applyFill="1" applyBorder="1" applyAlignment="1">
      <alignment horizontal="center" vertical="center"/>
    </xf>
    <xf numFmtId="167" fontId="0" fillId="21" borderId="27" xfId="0" applyNumberFormat="1" applyFill="1" applyBorder="1" applyAlignment="1">
      <alignment horizontal="center" vertical="center"/>
    </xf>
    <xf numFmtId="167" fontId="0" fillId="0" borderId="88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1" borderId="77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33" xfId="0" applyBorder="1"/>
    <xf numFmtId="0" fontId="9" fillId="0" borderId="0" xfId="0" applyFont="1" applyAlignment="1">
      <alignment horizontal="center"/>
    </xf>
    <xf numFmtId="11" fontId="0" fillId="0" borderId="103" xfId="0" applyNumberFormat="1" applyBorder="1"/>
    <xf numFmtId="166" fontId="0" fillId="0" borderId="27" xfId="0" applyNumberFormat="1" applyBorder="1"/>
    <xf numFmtId="166" fontId="0" fillId="0" borderId="0" xfId="0" applyNumberFormat="1"/>
    <xf numFmtId="166" fontId="0" fillId="0" borderId="13" xfId="0" applyNumberFormat="1" applyBorder="1"/>
    <xf numFmtId="166" fontId="0" fillId="0" borderId="103" xfId="0" applyNumberFormat="1" applyBorder="1"/>
    <xf numFmtId="0" fontId="0" fillId="0" borderId="74" xfId="0" applyBorder="1" applyAlignment="1">
      <alignment horizontal="center"/>
    </xf>
    <xf numFmtId="2" fontId="0" fillId="21" borderId="6" xfId="0" applyNumberFormat="1" applyFill="1" applyBorder="1"/>
    <xf numFmtId="0" fontId="0" fillId="21" borderId="10" xfId="0" applyFill="1" applyBorder="1"/>
    <xf numFmtId="0" fontId="0" fillId="21" borderId="78" xfId="0" applyFill="1" applyBorder="1"/>
    <xf numFmtId="2" fontId="0" fillId="0" borderId="10" xfId="0" applyNumberFormat="1" applyBorder="1"/>
    <xf numFmtId="0" fontId="0" fillId="0" borderId="84" xfId="0" applyBorder="1" applyAlignment="1">
      <alignment horizontal="center"/>
    </xf>
    <xf numFmtId="2" fontId="0" fillId="0" borderId="96" xfId="0" applyNumberFormat="1" applyBorder="1"/>
    <xf numFmtId="2" fontId="0" fillId="0" borderId="73" xfId="0" applyNumberFormat="1" applyBorder="1"/>
    <xf numFmtId="2" fontId="0" fillId="21" borderId="73" xfId="0" applyNumberFormat="1" applyFill="1" applyBorder="1"/>
    <xf numFmtId="2" fontId="0" fillId="0" borderId="68" xfId="0" applyNumberFormat="1" applyBorder="1"/>
    <xf numFmtId="0" fontId="0" fillId="21" borderId="68" xfId="0" applyFill="1" applyBorder="1"/>
    <xf numFmtId="2" fontId="0" fillId="21" borderId="68" xfId="0" applyNumberFormat="1" applyFill="1" applyBorder="1"/>
    <xf numFmtId="2" fontId="0" fillId="21" borderId="84" xfId="0" applyNumberFormat="1" applyFill="1" applyBorder="1"/>
    <xf numFmtId="2" fontId="0" fillId="0" borderId="74" xfId="0" applyNumberFormat="1" applyBorder="1"/>
    <xf numFmtId="0" fontId="0" fillId="21" borderId="73" xfId="0" applyFill="1" applyBorder="1"/>
    <xf numFmtId="2" fontId="0" fillId="23" borderId="0" xfId="0" applyNumberFormat="1" applyFill="1"/>
    <xf numFmtId="0" fontId="0" fillId="23" borderId="0" xfId="0" applyFill="1"/>
    <xf numFmtId="0" fontId="0" fillId="23" borderId="10" xfId="0" applyFill="1" applyBorder="1"/>
    <xf numFmtId="0" fontId="0" fillId="21" borderId="6" xfId="0" applyFill="1" applyBorder="1"/>
    <xf numFmtId="0" fontId="0" fillId="21" borderId="84" xfId="0" applyFill="1" applyBorder="1"/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78" xfId="0" applyNumberFormat="1" applyBorder="1"/>
    <xf numFmtId="0" fontId="0" fillId="0" borderId="78" xfId="0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04" xfId="0" applyFill="1" applyBorder="1" applyAlignment="1">
      <alignment vertical="center" wrapText="1"/>
    </xf>
    <xf numFmtId="0" fontId="2" fillId="3" borderId="105" xfId="0" applyFont="1" applyFill="1" applyBorder="1" applyAlignment="1">
      <alignment horizontal="center" vertical="center" wrapText="1"/>
    </xf>
    <xf numFmtId="0" fontId="2" fillId="3" borderId="106" xfId="0" applyFont="1" applyFill="1" applyBorder="1" applyAlignment="1">
      <alignment horizontal="center" vertical="center" wrapText="1"/>
    </xf>
    <xf numFmtId="0" fontId="2" fillId="3" borderId="107" xfId="0" applyFont="1" applyFill="1" applyBorder="1" applyAlignment="1">
      <alignment horizontal="center" vertical="center" wrapText="1"/>
    </xf>
    <xf numFmtId="165" fontId="3" fillId="0" borderId="98" xfId="0" applyNumberFormat="1" applyFont="1" applyBorder="1" applyAlignment="1">
      <alignment horizontal="center" vertical="center" wrapText="1"/>
    </xf>
    <xf numFmtId="0" fontId="0" fillId="0" borderId="96" xfId="0" applyBorder="1"/>
    <xf numFmtId="165" fontId="3" fillId="0" borderId="100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57" xfId="0" applyNumberFormat="1" applyBorder="1"/>
    <xf numFmtId="164" fontId="0" fillId="0" borderId="74" xfId="0" applyNumberFormat="1" applyBorder="1"/>
    <xf numFmtId="164" fontId="0" fillId="0" borderId="82" xfId="0" applyNumberFormat="1" applyBorder="1" applyAlignment="1">
      <alignment horizontal="center"/>
    </xf>
    <xf numFmtId="0" fontId="2" fillId="0" borderId="100" xfId="0" applyFont="1" applyBorder="1" applyAlignment="1">
      <alignment horizontal="center" vertical="center" wrapText="1"/>
    </xf>
    <xf numFmtId="2" fontId="0" fillId="16" borderId="34" xfId="0" applyNumberFormat="1" applyFill="1" applyBorder="1"/>
    <xf numFmtId="2" fontId="0" fillId="16" borderId="35" xfId="0" applyNumberFormat="1" applyFill="1" applyBorder="1"/>
    <xf numFmtId="0" fontId="0" fillId="16" borderId="35" xfId="0" applyFill="1" applyBorder="1"/>
    <xf numFmtId="0" fontId="0" fillId="16" borderId="1" xfId="0" applyFill="1" applyBorder="1"/>
    <xf numFmtId="2" fontId="0" fillId="16" borderId="0" xfId="0" applyNumberFormat="1" applyFill="1"/>
    <xf numFmtId="0" fontId="0" fillId="16" borderId="10" xfId="0" applyFill="1" applyBorder="1" applyAlignment="1">
      <alignment horizontal="center" vertical="center"/>
    </xf>
    <xf numFmtId="0" fontId="0" fillId="21" borderId="14" xfId="0" applyFill="1" applyBorder="1"/>
    <xf numFmtId="0" fontId="0" fillId="0" borderId="77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103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65" fontId="0" fillId="0" borderId="34" xfId="0" applyNumberFormat="1" applyBorder="1"/>
    <xf numFmtId="165" fontId="0" fillId="0" borderId="64" xfId="0" applyNumberFormat="1" applyBorder="1"/>
    <xf numFmtId="165" fontId="0" fillId="0" borderId="29" xfId="0" applyNumberFormat="1" applyBorder="1"/>
    <xf numFmtId="165" fontId="0" fillId="0" borderId="56" xfId="0" applyNumberFormat="1" applyBorder="1"/>
    <xf numFmtId="0" fontId="0" fillId="0" borderId="9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21" borderId="78" xfId="0" applyNumberFormat="1" applyFill="1" applyBorder="1"/>
    <xf numFmtId="2" fontId="0" fillId="21" borderId="10" xfId="0" applyNumberFormat="1" applyFill="1" applyBorder="1"/>
    <xf numFmtId="2" fontId="0" fillId="21" borderId="14" xfId="0" applyNumberFormat="1" applyFill="1" applyBorder="1"/>
    <xf numFmtId="0" fontId="0" fillId="0" borderId="4" xfId="0" applyBorder="1"/>
    <xf numFmtId="0" fontId="0" fillId="0" borderId="112" xfId="0" applyBorder="1"/>
    <xf numFmtId="0" fontId="0" fillId="0" borderId="37" xfId="0" applyBorder="1"/>
    <xf numFmtId="168" fontId="0" fillId="0" borderId="62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3" xfId="0" applyBorder="1"/>
    <xf numFmtId="0" fontId="0" fillId="0" borderId="113" xfId="0" applyBorder="1"/>
    <xf numFmtId="1" fontId="0" fillId="0" borderId="44" xfId="0" applyNumberFormat="1" applyBorder="1" applyAlignment="1">
      <alignment horizontal="center" vertical="center"/>
    </xf>
    <xf numFmtId="0" fontId="0" fillId="0" borderId="15" xfId="0" applyBorder="1"/>
    <xf numFmtId="0" fontId="0" fillId="0" borderId="97" xfId="0" applyBorder="1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5" xfId="2" applyFont="1" applyBorder="1" applyAlignment="1">
      <alignment horizontal="right" vertical="center" wrapText="1"/>
    </xf>
    <xf numFmtId="0" fontId="3" fillId="0" borderId="0" xfId="2" applyFont="1" applyAlignment="1">
      <alignment horizontal="right" vertical="center" wrapText="1"/>
    </xf>
    <xf numFmtId="0" fontId="3" fillId="0" borderId="13" xfId="2" applyFont="1" applyBorder="1" applyAlignment="1">
      <alignment horizontal="right" vertical="center" wrapText="1"/>
    </xf>
    <xf numFmtId="0" fontId="0" fillId="0" borderId="13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33" xfId="2" applyFont="1" applyBorder="1" applyAlignment="1">
      <alignment horizontal="right" vertical="center" wrapText="1"/>
    </xf>
    <xf numFmtId="0" fontId="3" fillId="0" borderId="37" xfId="2" applyFont="1" applyBorder="1" applyAlignment="1">
      <alignment horizontal="right" vertical="center" wrapText="1"/>
    </xf>
    <xf numFmtId="0" fontId="3" fillId="0" borderId="34" xfId="2" applyFont="1" applyBorder="1" applyAlignment="1">
      <alignment horizontal="right" vertical="center" wrapText="1"/>
    </xf>
    <xf numFmtId="0" fontId="3" fillId="0" borderId="38" xfId="2" applyFont="1" applyBorder="1" applyAlignment="1">
      <alignment horizontal="right" vertical="center" wrapText="1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3" fillId="0" borderId="29" xfId="2" applyFont="1" applyBorder="1" applyAlignment="1">
      <alignment horizontal="right" vertical="center" wrapText="1"/>
    </xf>
    <xf numFmtId="0" fontId="3" fillId="0" borderId="39" xfId="2" applyFont="1" applyBorder="1" applyAlignment="1">
      <alignment horizontal="right" vertical="center" wrapText="1"/>
    </xf>
    <xf numFmtId="0" fontId="0" fillId="0" borderId="14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5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8" xfId="0" applyBorder="1"/>
    <xf numFmtId="0" fontId="0" fillId="0" borderId="51" xfId="0" applyBorder="1"/>
    <xf numFmtId="0" fontId="0" fillId="0" borderId="114" xfId="0" applyBorder="1"/>
    <xf numFmtId="0" fontId="0" fillId="21" borderId="42" xfId="0" applyFill="1" applyBorder="1"/>
    <xf numFmtId="0" fontId="0" fillId="21" borderId="43" xfId="0" applyFill="1" applyBorder="1"/>
    <xf numFmtId="0" fontId="0" fillId="0" borderId="85" xfId="0" applyBorder="1" applyAlignment="1">
      <alignment horizontal="left"/>
    </xf>
    <xf numFmtId="0" fontId="0" fillId="21" borderId="41" xfId="0" applyFill="1" applyBorder="1"/>
    <xf numFmtId="0" fontId="0" fillId="21" borderId="95" xfId="0" applyFill="1" applyBorder="1"/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21" borderId="30" xfId="0" applyFill="1" applyBorder="1"/>
    <xf numFmtId="0" fontId="0" fillId="21" borderId="57" xfId="0" applyFill="1" applyBorder="1"/>
    <xf numFmtId="0" fontId="0" fillId="0" borderId="77" xfId="0" applyBorder="1" applyAlignment="1">
      <alignment horizontal="left"/>
    </xf>
    <xf numFmtId="0" fontId="0" fillId="21" borderId="74" xfId="0" applyFill="1" applyBorder="1"/>
    <xf numFmtId="0" fontId="0" fillId="21" borderId="34" xfId="0" applyFill="1" applyBorder="1"/>
    <xf numFmtId="0" fontId="0" fillId="21" borderId="29" xfId="0" applyFill="1" applyBorder="1"/>
    <xf numFmtId="0" fontId="0" fillId="21" borderId="72" xfId="0" applyFill="1" applyBorder="1"/>
    <xf numFmtId="0" fontId="0" fillId="21" borderId="46" xfId="0" applyFill="1" applyBorder="1"/>
    <xf numFmtId="0" fontId="0" fillId="0" borderId="67" xfId="0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0" borderId="9" xfId="2" applyFont="1" applyBorder="1" applyAlignment="1">
      <alignment horizontal="right" vertical="center" wrapText="1"/>
    </xf>
    <xf numFmtId="0" fontId="3" fillId="0" borderId="12" xfId="2" applyFont="1" applyBorder="1" applyAlignment="1">
      <alignment horizontal="right" vertical="center" wrapText="1"/>
    </xf>
    <xf numFmtId="0" fontId="0" fillId="0" borderId="12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5" xfId="0" applyBorder="1" applyAlignment="1">
      <alignment horizontal="right"/>
    </xf>
    <xf numFmtId="0" fontId="3" fillId="0" borderId="35" xfId="2" applyFont="1" applyBorder="1" applyAlignment="1">
      <alignment horizontal="right" vertical="center" wrapText="1"/>
    </xf>
    <xf numFmtId="0" fontId="3" fillId="0" borderId="91" xfId="2" applyFont="1" applyBorder="1" applyAlignment="1">
      <alignment horizontal="right" vertical="center" wrapText="1"/>
    </xf>
    <xf numFmtId="0" fontId="0" fillId="0" borderId="91" xfId="0" applyBorder="1" applyAlignment="1">
      <alignment horizontal="right"/>
    </xf>
    <xf numFmtId="0" fontId="0" fillId="0" borderId="0" xfId="0" applyAlignment="1">
      <alignment vertical="center" wrapText="1"/>
    </xf>
    <xf numFmtId="166" fontId="0" fillId="0" borderId="5" xfId="0" applyNumberFormat="1" applyBorder="1"/>
    <xf numFmtId="0" fontId="0" fillId="0" borderId="85" xfId="0" applyBorder="1"/>
    <xf numFmtId="0" fontId="0" fillId="0" borderId="116" xfId="0" applyBorder="1"/>
    <xf numFmtId="0" fontId="0" fillId="21" borderId="116" xfId="0" applyFill="1" applyBorder="1"/>
    <xf numFmtId="0" fontId="0" fillId="21" borderId="117" xfId="0" applyFill="1" applyBorder="1"/>
    <xf numFmtId="0" fontId="0" fillId="21" borderId="118" xfId="0" applyFill="1" applyBorder="1"/>
    <xf numFmtId="0" fontId="0" fillId="21" borderId="119" xfId="0" applyFill="1" applyBorder="1"/>
    <xf numFmtId="0" fontId="0" fillId="0" borderId="117" xfId="0" applyBorder="1"/>
    <xf numFmtId="0" fontId="0" fillId="0" borderId="118" xfId="0" applyBorder="1"/>
    <xf numFmtId="0" fontId="0" fillId="0" borderId="119" xfId="0" applyBorder="1"/>
    <xf numFmtId="0" fontId="0" fillId="0" borderId="115" xfId="0" applyBorder="1"/>
    <xf numFmtId="0" fontId="0" fillId="21" borderId="9" xfId="0" applyFill="1" applyBorder="1"/>
    <xf numFmtId="0" fontId="0" fillId="21" borderId="12" xfId="0" applyFill="1" applyBorder="1"/>
    <xf numFmtId="0" fontId="0" fillId="21" borderId="81" xfId="0" applyFill="1" applyBorder="1"/>
    <xf numFmtId="0" fontId="0" fillId="21" borderId="67" xfId="0" applyFill="1" applyBorder="1"/>
    <xf numFmtId="0" fontId="0" fillId="21" borderId="38" xfId="0" applyFill="1" applyBorder="1"/>
    <xf numFmtId="0" fontId="0" fillId="21" borderId="39" xfId="0" applyFill="1" applyBorder="1"/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0" xfId="0" applyBorder="1"/>
    <xf numFmtId="0" fontId="0" fillId="0" borderId="121" xfId="0" applyBorder="1"/>
    <xf numFmtId="0" fontId="0" fillId="0" borderId="122" xfId="0" applyBorder="1"/>
    <xf numFmtId="0" fontId="0" fillId="0" borderId="120" xfId="0" applyBorder="1" applyAlignment="1">
      <alignment horizontal="center"/>
    </xf>
    <xf numFmtId="0" fontId="0" fillId="0" borderId="121" xfId="0" applyBorder="1" applyAlignment="1">
      <alignment horizontal="right"/>
    </xf>
    <xf numFmtId="0" fontId="0" fillId="0" borderId="12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78" xfId="0" applyBorder="1" applyAlignment="1">
      <alignment horizontal="right"/>
    </xf>
    <xf numFmtId="0" fontId="0" fillId="0" borderId="6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123" xfId="0" applyBorder="1"/>
    <xf numFmtId="0" fontId="0" fillId="0" borderId="124" xfId="0" applyBorder="1"/>
    <xf numFmtId="0" fontId="0" fillId="0" borderId="123" xfId="0" applyBorder="1" applyAlignment="1">
      <alignment horizontal="right"/>
    </xf>
    <xf numFmtId="0" fontId="0" fillId="0" borderId="124" xfId="0" applyBorder="1" applyAlignment="1">
      <alignment horizontal="right"/>
    </xf>
    <xf numFmtId="0" fontId="0" fillId="0" borderId="85" xfId="0" applyBorder="1" applyAlignment="1">
      <alignment vertical="center"/>
    </xf>
    <xf numFmtId="0" fontId="0" fillId="21" borderId="34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10" xfId="0" applyFill="1" applyBorder="1" applyAlignment="1">
      <alignment horizontal="right"/>
    </xf>
    <xf numFmtId="0" fontId="0" fillId="21" borderId="29" xfId="0" applyFill="1" applyBorder="1" applyAlignment="1">
      <alignment horizontal="right"/>
    </xf>
    <xf numFmtId="0" fontId="0" fillId="21" borderId="13" xfId="0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0" fillId="0" borderId="125" xfId="0" applyBorder="1"/>
    <xf numFmtId="0" fontId="0" fillId="0" borderId="2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12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16" borderId="35" xfId="0" applyFill="1" applyBorder="1" applyAlignment="1">
      <alignment vertical="center"/>
    </xf>
    <xf numFmtId="0" fontId="0" fillId="0" borderId="60" xfId="0" applyBorder="1"/>
    <xf numFmtId="0" fontId="0" fillId="0" borderId="108" xfId="0" applyBorder="1"/>
    <xf numFmtId="0" fontId="0" fillId="0" borderId="26" xfId="0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85" xfId="0" applyFill="1" applyBorder="1"/>
    <xf numFmtId="11" fontId="3" fillId="5" borderId="16" xfId="0" applyNumberFormat="1" applyFont="1" applyFill="1" applyBorder="1" applyAlignment="1">
      <alignment horizontal="center" vertical="center" wrapText="1"/>
    </xf>
    <xf numFmtId="11" fontId="3" fillId="5" borderId="21" xfId="0" applyNumberFormat="1" applyFont="1" applyFill="1" applyBorder="1" applyAlignment="1">
      <alignment horizontal="center" vertical="center" wrapText="1"/>
    </xf>
    <xf numFmtId="11" fontId="3" fillId="5" borderId="23" xfId="0" applyNumberFormat="1" applyFont="1" applyFill="1" applyBorder="1" applyAlignment="1">
      <alignment horizontal="center" vertical="center" wrapText="1"/>
    </xf>
    <xf numFmtId="11" fontId="3" fillId="5" borderId="24" xfId="0" applyNumberFormat="1" applyFont="1" applyFill="1" applyBorder="1" applyAlignment="1">
      <alignment horizontal="center" vertical="center" wrapText="1"/>
    </xf>
    <xf numFmtId="0" fontId="0" fillId="0" borderId="100" xfId="0" applyBorder="1" applyAlignment="1">
      <alignment horizontal="center" vertical="center"/>
    </xf>
    <xf numFmtId="11" fontId="0" fillId="0" borderId="68" xfId="0" applyNumberFormat="1" applyBorder="1"/>
    <xf numFmtId="169" fontId="0" fillId="0" borderId="47" xfId="0" applyNumberFormat="1" applyBorder="1" applyAlignment="1">
      <alignment horizontal="center" vertical="center"/>
    </xf>
    <xf numFmtId="169" fontId="0" fillId="0" borderId="44" xfId="0" applyNumberFormat="1" applyBorder="1" applyAlignment="1">
      <alignment horizontal="center" vertical="center"/>
    </xf>
    <xf numFmtId="169" fontId="0" fillId="0" borderId="77" xfId="0" applyNumberFormat="1" applyBorder="1" applyAlignment="1">
      <alignment horizontal="center" vertical="center"/>
    </xf>
    <xf numFmtId="169" fontId="0" fillId="0" borderId="27" xfId="0" applyNumberFormat="1" applyBorder="1" applyAlignment="1">
      <alignment horizontal="center" vertical="center"/>
    </xf>
    <xf numFmtId="169" fontId="0" fillId="0" borderId="62" xfId="0" applyNumberFormat="1" applyBorder="1" applyAlignment="1">
      <alignment horizontal="center" vertical="center"/>
    </xf>
    <xf numFmtId="169" fontId="0" fillId="0" borderId="49" xfId="0" applyNumberFormat="1" applyBorder="1" applyAlignment="1">
      <alignment horizontal="center" vertical="center"/>
    </xf>
    <xf numFmtId="169" fontId="0" fillId="0" borderId="88" xfId="0" applyNumberFormat="1" applyBorder="1" applyAlignment="1">
      <alignment horizontal="center" vertical="center"/>
    </xf>
    <xf numFmtId="169" fontId="0" fillId="0" borderId="28" xfId="0" applyNumberFormat="1" applyBorder="1" applyAlignment="1">
      <alignment horizontal="center" vertical="center"/>
    </xf>
    <xf numFmtId="11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pivotButton="1"/>
    <xf numFmtId="0" fontId="0" fillId="17" borderId="0" xfId="0" applyFill="1"/>
    <xf numFmtId="0" fontId="0" fillId="27" borderId="0" xfId="0" applyFill="1"/>
    <xf numFmtId="0" fontId="12" fillId="27" borderId="0" xfId="1" applyFont="1" applyFill="1"/>
    <xf numFmtId="0" fontId="4" fillId="27" borderId="0" xfId="0" applyFont="1" applyFill="1"/>
    <xf numFmtId="0" fontId="7" fillId="0" borderId="27" xfId="0" applyFont="1" applyBorder="1"/>
    <xf numFmtId="0" fontId="7" fillId="0" borderId="78" xfId="0" applyFont="1" applyBorder="1"/>
    <xf numFmtId="0" fontId="7" fillId="0" borderId="13" xfId="0" applyFont="1" applyBorder="1"/>
    <xf numFmtId="0" fontId="7" fillId="0" borderId="14" xfId="0" applyFont="1" applyBorder="1"/>
    <xf numFmtId="165" fontId="3" fillId="0" borderId="44" xfId="0" applyNumberFormat="1" applyFont="1" applyBorder="1" applyAlignment="1">
      <alignment horizontal="center" vertical="center" wrapText="1"/>
    </xf>
    <xf numFmtId="11" fontId="3" fillId="0" borderId="0" xfId="0" applyNumberFormat="1" applyFont="1" applyAlignment="1">
      <alignment horizontal="center" vertical="center" wrapText="1"/>
    </xf>
    <xf numFmtId="11" fontId="3" fillId="0" borderId="13" xfId="0" applyNumberFormat="1" applyFont="1" applyBorder="1" applyAlignment="1">
      <alignment horizontal="center" vertical="center" wrapText="1"/>
    </xf>
    <xf numFmtId="0" fontId="0" fillId="26" borderId="0" xfId="0" applyFill="1"/>
    <xf numFmtId="11" fontId="3" fillId="0" borderId="77" xfId="0" applyNumberFormat="1" applyFont="1" applyBorder="1" applyAlignment="1">
      <alignment horizontal="center" vertical="center" wrapText="1"/>
    </xf>
    <xf numFmtId="1" fontId="3" fillId="15" borderId="16" xfId="0" applyNumberFormat="1" applyFont="1" applyFill="1" applyBorder="1" applyAlignment="1">
      <alignment horizontal="center" vertical="center" wrapText="1"/>
    </xf>
    <xf numFmtId="1" fontId="3" fillId="4" borderId="16" xfId="0" applyNumberFormat="1" applyFont="1" applyFill="1" applyBorder="1" applyAlignment="1">
      <alignment horizontal="center" vertical="center" wrapText="1"/>
    </xf>
    <xf numFmtId="1" fontId="3" fillId="9" borderId="16" xfId="0" applyNumberFormat="1" applyFont="1" applyFill="1" applyBorder="1" applyAlignment="1">
      <alignment horizontal="center" vertical="center" wrapText="1"/>
    </xf>
    <xf numFmtId="1" fontId="3" fillId="12" borderId="16" xfId="0" applyNumberFormat="1" applyFont="1" applyFill="1" applyBorder="1" applyAlignment="1">
      <alignment horizontal="center" vertical="center" wrapText="1"/>
    </xf>
    <xf numFmtId="1" fontId="3" fillId="10" borderId="16" xfId="0" applyNumberFormat="1" applyFont="1" applyFill="1" applyBorder="1" applyAlignment="1">
      <alignment horizontal="center" vertical="center" wrapText="1"/>
    </xf>
    <xf numFmtId="2" fontId="0" fillId="0" borderId="95" xfId="0" applyNumberFormat="1" applyBorder="1" applyAlignment="1">
      <alignment horizontal="center"/>
    </xf>
    <xf numFmtId="0" fontId="3" fillId="4" borderId="23" xfId="0" applyFont="1" applyFill="1" applyBorder="1" applyAlignment="1">
      <alignment horizontal="center" vertical="center" wrapText="1"/>
    </xf>
    <xf numFmtId="0" fontId="3" fillId="15" borderId="23" xfId="0" applyFont="1" applyFill="1" applyBorder="1" applyAlignment="1">
      <alignment horizontal="center" vertical="center" wrapText="1"/>
    </xf>
    <xf numFmtId="0" fontId="0" fillId="16" borderId="78" xfId="0" applyFill="1" applyBorder="1" applyAlignment="1">
      <alignment horizontal="center" vertical="center"/>
    </xf>
    <xf numFmtId="2" fontId="0" fillId="16" borderId="27" xfId="0" applyNumberFormat="1" applyFill="1" applyBorder="1"/>
    <xf numFmtId="2" fontId="0" fillId="16" borderId="31" xfId="0" applyNumberFormat="1" applyFill="1" applyBorder="1"/>
    <xf numFmtId="0" fontId="0" fillId="16" borderId="27" xfId="0" applyFill="1" applyBorder="1"/>
    <xf numFmtId="0" fontId="0" fillId="16" borderId="31" xfId="0" applyFill="1" applyBorder="1"/>
    <xf numFmtId="0" fontId="0" fillId="16" borderId="74" xfId="0" applyFill="1" applyBorder="1"/>
    <xf numFmtId="0" fontId="0" fillId="16" borderId="78" xfId="0" applyFill="1" applyBorder="1"/>
    <xf numFmtId="2" fontId="0" fillId="0" borderId="72" xfId="0" applyNumberFormat="1" applyBorder="1"/>
    <xf numFmtId="2" fontId="0" fillId="0" borderId="1" xfId="0" applyNumberFormat="1" applyBorder="1"/>
    <xf numFmtId="2" fontId="0" fillId="0" borderId="57" xfId="0" applyNumberFormat="1" applyBorder="1"/>
    <xf numFmtId="0" fontId="2" fillId="3" borderId="126" xfId="0" applyFont="1" applyFill="1" applyBorder="1" applyAlignment="1">
      <alignment horizontal="center" vertical="center" wrapText="1"/>
    </xf>
    <xf numFmtId="0" fontId="2" fillId="3" borderId="127" xfId="0" applyFont="1" applyFill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165" fontId="3" fillId="0" borderId="74" xfId="0" applyNumberFormat="1" applyFont="1" applyBorder="1" applyAlignment="1">
      <alignment horizontal="center" vertical="center" wrapText="1"/>
    </xf>
    <xf numFmtId="165" fontId="3" fillId="0" borderId="82" xfId="0" applyNumberFormat="1" applyFont="1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164" fontId="0" fillId="0" borderId="91" xfId="0" applyNumberFormat="1" applyBorder="1"/>
    <xf numFmtId="164" fontId="0" fillId="0" borderId="31" xfId="0" applyNumberFormat="1" applyBorder="1"/>
    <xf numFmtId="0" fontId="0" fillId="3" borderId="128" xfId="0" applyFill="1" applyBorder="1" applyAlignment="1">
      <alignment vertical="center" wrapText="1"/>
    </xf>
    <xf numFmtId="0" fontId="13" fillId="27" borderId="0" xfId="0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00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164" fontId="0" fillId="16" borderId="6" xfId="0" applyNumberFormat="1" applyFill="1" applyBorder="1" applyAlignment="1">
      <alignment horizontal="center" vertical="center"/>
    </xf>
    <xf numFmtId="164" fontId="0" fillId="16" borderId="10" xfId="0" applyNumberFormat="1" applyFill="1" applyBorder="1" applyAlignment="1">
      <alignment horizontal="center" vertical="center"/>
    </xf>
    <xf numFmtId="2" fontId="0" fillId="0" borderId="36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7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7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7" xfId="0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91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82" xfId="0" applyNumberFormat="1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5" fontId="0" fillId="0" borderId="80" xfId="0" applyNumberFormat="1" applyBorder="1" applyAlignment="1">
      <alignment horizontal="center" vertical="center"/>
    </xf>
    <xf numFmtId="165" fontId="0" fillId="0" borderId="64" xfId="0" applyNumberFormat="1" applyBorder="1" applyAlignment="1">
      <alignment horizontal="center" vertical="center"/>
    </xf>
    <xf numFmtId="165" fontId="0" fillId="0" borderId="82" xfId="0" applyNumberFormat="1" applyBorder="1" applyAlignment="1">
      <alignment horizontal="center" vertical="center"/>
    </xf>
    <xf numFmtId="165" fontId="0" fillId="0" borderId="56" xfId="0" applyNumberFormat="1" applyBorder="1" applyAlignment="1">
      <alignment horizontal="center" vertical="center"/>
    </xf>
    <xf numFmtId="167" fontId="0" fillId="0" borderId="80" xfId="0" applyNumberFormat="1" applyBorder="1" applyAlignment="1">
      <alignment horizontal="center" vertical="center"/>
    </xf>
    <xf numFmtId="167" fontId="0" fillId="0" borderId="64" xfId="0" applyNumberFormat="1" applyBorder="1" applyAlignment="1">
      <alignment horizontal="center" vertical="center"/>
    </xf>
    <xf numFmtId="167" fontId="0" fillId="0" borderId="82" xfId="0" applyNumberFormat="1" applyBorder="1" applyAlignment="1">
      <alignment horizontal="center" vertical="center"/>
    </xf>
    <xf numFmtId="0" fontId="2" fillId="0" borderId="8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167" fontId="0" fillId="0" borderId="84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6" fontId="0" fillId="0" borderId="5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11" fontId="0" fillId="0" borderId="42" xfId="0" applyNumberFormat="1" applyBorder="1" applyAlignment="1">
      <alignment horizontal="center" vertical="center"/>
    </xf>
    <xf numFmtId="11" fontId="0" fillId="0" borderId="95" xfId="0" applyNumberFormat="1" applyBorder="1" applyAlignment="1">
      <alignment horizontal="center" vertical="center"/>
    </xf>
    <xf numFmtId="11" fontId="0" fillId="0" borderId="4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8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95" xfId="0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77" xfId="0" applyBorder="1" applyAlignment="1">
      <alignment horizontal="center" wrapText="1"/>
    </xf>
    <xf numFmtId="11" fontId="0" fillId="0" borderId="43" xfId="0" applyNumberFormat="1" applyBorder="1" applyAlignment="1">
      <alignment horizontal="center" vertical="center"/>
    </xf>
    <xf numFmtId="0" fontId="9" fillId="0" borderId="49" xfId="0" applyFont="1" applyBorder="1" applyAlignment="1">
      <alignment horizontal="center"/>
    </xf>
    <xf numFmtId="0" fontId="9" fillId="0" borderId="94" xfId="0" applyFont="1" applyBorder="1" applyAlignment="1">
      <alignment horizontal="center"/>
    </xf>
    <xf numFmtId="167" fontId="0" fillId="0" borderId="46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95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0" fontId="0" fillId="0" borderId="9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1" fontId="0" fillId="0" borderId="6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9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11" fontId="0" fillId="0" borderId="84" xfId="0" applyNumberFormat="1" applyBorder="1" applyAlignment="1">
      <alignment horizontal="center" vertical="center"/>
    </xf>
    <xf numFmtId="11" fontId="0" fillId="0" borderId="78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7" fillId="0" borderId="3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4" borderId="15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0" borderId="38" xfId="0" applyBorder="1" applyAlignment="1">
      <alignment horizontal="right" vertical="center" wrapText="1"/>
    </xf>
    <xf numFmtId="0" fontId="0" fillId="0" borderId="97" xfId="0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0" borderId="33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97" xfId="0" applyBorder="1" applyAlignment="1">
      <alignment horizontal="right" vertical="center"/>
    </xf>
    <xf numFmtId="0" fontId="0" fillId="0" borderId="64" xfId="0" applyBorder="1" applyAlignment="1">
      <alignment horizontal="right" vertical="center"/>
    </xf>
    <xf numFmtId="0" fontId="0" fillId="21" borderId="46" xfId="0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/>
    </xf>
    <xf numFmtId="0" fontId="0" fillId="21" borderId="43" xfId="0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D9E19A9C-E1AD-438A-9F9A-7895F2FD4089}"/>
  </cellStyles>
  <dxfs count="6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Summary'!$D$3:$D$6</c:f>
              <c:numCache>
                <c:formatCode>0.00</c:formatCode>
                <c:ptCount val="4"/>
                <c:pt idx="0">
                  <c:v>39.009623383749997</c:v>
                </c:pt>
                <c:pt idx="1">
                  <c:v>29.2697262475</c:v>
                </c:pt>
                <c:pt idx="2">
                  <c:v>28.728126558750006</c:v>
                </c:pt>
                <c:pt idx="3">
                  <c:v>36.192699250000004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6-43C5-A5E4-C9616488CACA}"/>
            </c:ext>
          </c:extLst>
        </c:ser>
        <c:ser>
          <c:idx val="0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 Summary'!$C$7:$C$10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Summary'!$D$7:$D$10</c:f>
              <c:numCache>
                <c:formatCode>0.00</c:formatCode>
                <c:ptCount val="4"/>
                <c:pt idx="0">
                  <c:v>38.288229596249998</c:v>
                </c:pt>
                <c:pt idx="1">
                  <c:v>31.741872250000004</c:v>
                </c:pt>
                <c:pt idx="2">
                  <c:v>21.113805347400003</c:v>
                </c:pt>
                <c:pt idx="3">
                  <c:v>34.899939704445451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6-43C5-A5E4-C9616488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55384"/>
        <c:axId val="643858336"/>
      </c:barChart>
      <c:catAx>
        <c:axId val="64385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58336"/>
        <c:crosses val="autoZero"/>
        <c:auto val="1"/>
        <c:lblAlgn val="ctr"/>
        <c:lblOffset val="100"/>
        <c:noMultiLvlLbl val="0"/>
      </c:catAx>
      <c:valAx>
        <c:axId val="643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23490813648297E-2"/>
                  <c:y val="-0.26501348789734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Picogreen!$R$24:$R$29</c:f>
              <c:numCache>
                <c:formatCode>0.0000</c:formatCode>
                <c:ptCount val="6"/>
                <c:pt idx="0">
                  <c:v>1.1428571428571428</c:v>
                </c:pt>
                <c:pt idx="1">
                  <c:v>22.642857142857142</c:v>
                </c:pt>
                <c:pt idx="2">
                  <c:v>38.142857142857146</c:v>
                </c:pt>
                <c:pt idx="3">
                  <c:v>83.642857142857139</c:v>
                </c:pt>
                <c:pt idx="4">
                  <c:v>155.64285714285714</c:v>
                </c:pt>
              </c:numCache>
            </c:numRef>
          </c:xVal>
          <c:yVal>
            <c:numRef>
              <c:f>Picogreen!$S$24:$S$29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1-418A-9467-FC505953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728"/>
        <c:axId val="314711832"/>
      </c:scatterChart>
      <c:valAx>
        <c:axId val="4389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11832"/>
        <c:crosses val="autoZero"/>
        <c:crossBetween val="midCat"/>
      </c:valAx>
      <c:valAx>
        <c:axId val="314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29461942257219"/>
                  <c:y val="-0.26760826771653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Picogreen!$AG$24:$AG$29</c:f>
              <c:numCache>
                <c:formatCode>0.000</c:formatCode>
                <c:ptCount val="6"/>
                <c:pt idx="0">
                  <c:v>0.5</c:v>
                </c:pt>
                <c:pt idx="1">
                  <c:v>18</c:v>
                </c:pt>
                <c:pt idx="2">
                  <c:v>42.5</c:v>
                </c:pt>
                <c:pt idx="3">
                  <c:v>89</c:v>
                </c:pt>
                <c:pt idx="4">
                  <c:v>169.5</c:v>
                </c:pt>
              </c:numCache>
            </c:numRef>
          </c:xVal>
          <c:yVal>
            <c:numRef>
              <c:f>Picogreen!$AH$24:$AH$29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9-43E5-A92A-C49F9CAF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8256"/>
        <c:axId val="564020552"/>
      </c:scatterChart>
      <c:valAx>
        <c:axId val="5640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0552"/>
        <c:crosses val="autoZero"/>
        <c:crossBetween val="midCat"/>
      </c:valAx>
      <c:valAx>
        <c:axId val="5640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8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31583552055991E-2"/>
                  <c:y val="-0.59806430446194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Picogreen!$AV$24:$AV$29</c:f>
              <c:numCache>
                <c:formatCode>General</c:formatCode>
                <c:ptCount val="6"/>
                <c:pt idx="0">
                  <c:v>0.71153846153846145</c:v>
                </c:pt>
                <c:pt idx="1">
                  <c:v>29.21153846153846</c:v>
                </c:pt>
                <c:pt idx="2">
                  <c:v>67.5</c:v>
                </c:pt>
                <c:pt idx="3">
                  <c:v>129.5</c:v>
                </c:pt>
              </c:numCache>
            </c:numRef>
          </c:xVal>
          <c:yVal>
            <c:numRef>
              <c:f>Picogreen!$AW$24:$AW$29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EFB-9521-4A7B5FBB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86808"/>
        <c:axId val="435689104"/>
      </c:scatterChart>
      <c:valAx>
        <c:axId val="43568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9104"/>
        <c:crosses val="autoZero"/>
        <c:crossBetween val="midCat"/>
      </c:valAx>
      <c:valAx>
        <c:axId val="435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Picogreen!$BK$24:$BK$29</c:f>
              <c:numCache>
                <c:formatCode>General</c:formatCode>
                <c:ptCount val="6"/>
                <c:pt idx="0">
                  <c:v>-1.9</c:v>
                </c:pt>
                <c:pt idx="1">
                  <c:v>23.6</c:v>
                </c:pt>
                <c:pt idx="2">
                  <c:v>51.5</c:v>
                </c:pt>
                <c:pt idx="3">
                  <c:v>95.5</c:v>
                </c:pt>
                <c:pt idx="4">
                  <c:v>186.5</c:v>
                </c:pt>
              </c:numCache>
            </c:numRef>
          </c:xVal>
          <c:yVal>
            <c:numRef>
              <c:f>Picogreen!$BL$24:$BL$29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7-4541-BCB9-717243D9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10896"/>
        <c:axId val="812010536"/>
      </c:scatterChart>
      <c:valAx>
        <c:axId val="8120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10536"/>
        <c:crosses val="autoZero"/>
        <c:crossBetween val="midCat"/>
      </c:valAx>
      <c:valAx>
        <c:axId val="8120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179352580927384E-3"/>
                  <c:y val="-0.20715696996208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DMMB!$C$31:$C$40</c:f>
              <c:numCache>
                <c:formatCode>0.0000</c:formatCode>
                <c:ptCount val="10"/>
                <c:pt idx="3" formatCode="General">
                  <c:v>-0.55449999999999999</c:v>
                </c:pt>
                <c:pt idx="4" formatCode="General">
                  <c:v>-0.53649999999999998</c:v>
                </c:pt>
                <c:pt idx="5" formatCode="General">
                  <c:v>-0.52900000000000003</c:v>
                </c:pt>
                <c:pt idx="6" formatCode="General">
                  <c:v>-0.51800000000000002</c:v>
                </c:pt>
                <c:pt idx="7" formatCode="General">
                  <c:v>-0.50249999999999995</c:v>
                </c:pt>
                <c:pt idx="8" formatCode="General">
                  <c:v>-0.48849999999999999</c:v>
                </c:pt>
                <c:pt idx="9" formatCode="General">
                  <c:v>-0.47049999999999997</c:v>
                </c:pt>
              </c:numCache>
            </c:numRef>
          </c:xVal>
          <c:yVal>
            <c:numRef>
              <c:f>DMMB!$D$31:$D$40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C89-98A2-885BA87F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86272"/>
        <c:axId val="580892504"/>
      </c:scatterChart>
      <c:valAx>
        <c:axId val="5808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2504"/>
        <c:crosses val="autoZero"/>
        <c:crossBetween val="midCat"/>
      </c:valAx>
      <c:valAx>
        <c:axId val="5808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3184601924761E-2"/>
                  <c:y val="-0.25163750364537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DMMB!$R$31:$R$40</c:f>
              <c:numCache>
                <c:formatCode>General</c:formatCode>
                <c:ptCount val="10"/>
                <c:pt idx="1">
                  <c:v>-0.56700000000000006</c:v>
                </c:pt>
                <c:pt idx="2">
                  <c:v>-0.5605</c:v>
                </c:pt>
                <c:pt idx="3">
                  <c:v>-0.55400000000000005</c:v>
                </c:pt>
                <c:pt idx="4">
                  <c:v>-0.53749999999999998</c:v>
                </c:pt>
                <c:pt idx="5">
                  <c:v>-0.52449999999999997</c:v>
                </c:pt>
                <c:pt idx="6">
                  <c:v>-0.5109999999999999</c:v>
                </c:pt>
                <c:pt idx="7">
                  <c:v>-0.499</c:v>
                </c:pt>
                <c:pt idx="8">
                  <c:v>-0.47499999999999998</c:v>
                </c:pt>
                <c:pt idx="9">
                  <c:v>-0.45600000000000007</c:v>
                </c:pt>
              </c:numCache>
            </c:numRef>
          </c:xVal>
          <c:yVal>
            <c:numRef>
              <c:f>DMMB!$S$31:$S$40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9-4B39-8A08-3D0BE07F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0224"/>
        <c:axId val="440163664"/>
      </c:scatterChart>
      <c:valAx>
        <c:axId val="440170224"/>
        <c:scaling>
          <c:orientation val="minMax"/>
          <c:max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3664"/>
        <c:crosses val="autoZero"/>
        <c:crossBetween val="midCat"/>
      </c:valAx>
      <c:valAx>
        <c:axId val="440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62926509186351"/>
                  <c:y val="-0.20022163896179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DMMB!$AG$31:$AG$40</c:f>
              <c:numCache>
                <c:formatCode>General</c:formatCode>
                <c:ptCount val="10"/>
                <c:pt idx="0">
                  <c:v>-0.57100000000000006</c:v>
                </c:pt>
                <c:pt idx="1">
                  <c:v>-0.57050000000000001</c:v>
                </c:pt>
                <c:pt idx="3">
                  <c:v>-0.55349999999999999</c:v>
                </c:pt>
                <c:pt idx="5">
                  <c:v>-0.53599999999999992</c:v>
                </c:pt>
                <c:pt idx="6">
                  <c:v>-0.52349999999999997</c:v>
                </c:pt>
                <c:pt idx="7">
                  <c:v>-0.50549999999999995</c:v>
                </c:pt>
                <c:pt idx="8">
                  <c:v>-0.48849999999999999</c:v>
                </c:pt>
              </c:numCache>
            </c:numRef>
          </c:xVal>
          <c:yVal>
            <c:numRef>
              <c:f>DMMB!$AH$31:$AH$40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8-4D35-861F-EC94061E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87232"/>
        <c:axId val="644080016"/>
      </c:scatterChart>
      <c:valAx>
        <c:axId val="644087232"/>
        <c:scaling>
          <c:orientation val="minMax"/>
          <c:max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80016"/>
        <c:crosses val="autoZero"/>
        <c:crossBetween val="midCat"/>
      </c:valAx>
      <c:valAx>
        <c:axId val="6440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2016404199475061"/>
                  <c:y val="-0.23024168853893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DMMB!$AV$31:$AV$40</c:f>
              <c:numCache>
                <c:formatCode>General</c:formatCode>
                <c:ptCount val="10"/>
                <c:pt idx="1">
                  <c:v>-0.56700000000000006</c:v>
                </c:pt>
                <c:pt idx="2">
                  <c:v>-0.5585</c:v>
                </c:pt>
                <c:pt idx="3">
                  <c:v>-0.55349999999999999</c:v>
                </c:pt>
                <c:pt idx="4">
                  <c:v>-0.53149999999999997</c:v>
                </c:pt>
                <c:pt idx="5">
                  <c:v>-0.52800000000000002</c:v>
                </c:pt>
                <c:pt idx="6">
                  <c:v>-0.51449999999999996</c:v>
                </c:pt>
                <c:pt idx="7">
                  <c:v>-0.4995</c:v>
                </c:pt>
                <c:pt idx="8">
                  <c:v>-0.47349999999999998</c:v>
                </c:pt>
                <c:pt idx="9">
                  <c:v>-0.46399999999999997</c:v>
                </c:pt>
              </c:numCache>
            </c:numRef>
          </c:xVal>
          <c:yVal>
            <c:numRef>
              <c:f>DMMB!$AW$31:$AW$40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C-4F89-9667-6B34F4F7D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29344"/>
        <c:axId val="635835248"/>
      </c:scatterChart>
      <c:valAx>
        <c:axId val="635829344"/>
        <c:scaling>
          <c:orientation val="minMax"/>
          <c:max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35248"/>
        <c:crosses val="autoZero"/>
        <c:crossBetween val="midCat"/>
      </c:valAx>
      <c:valAx>
        <c:axId val="6358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DMMB!$BK$31:$BK$40</c:f>
              <c:numCache>
                <c:formatCode>General</c:formatCode>
                <c:ptCount val="10"/>
                <c:pt idx="2">
                  <c:v>-0.61</c:v>
                </c:pt>
                <c:pt idx="3">
                  <c:v>-0.6</c:v>
                </c:pt>
                <c:pt idx="4">
                  <c:v>-0.58500000000000008</c:v>
                </c:pt>
                <c:pt idx="5">
                  <c:v>-0.57450000000000001</c:v>
                </c:pt>
                <c:pt idx="6">
                  <c:v>-0.56400000000000006</c:v>
                </c:pt>
                <c:pt idx="7">
                  <c:v>-0.54649999999999999</c:v>
                </c:pt>
                <c:pt idx="8">
                  <c:v>-0.52849999999999997</c:v>
                </c:pt>
                <c:pt idx="9">
                  <c:v>-0.50800000000000001</c:v>
                </c:pt>
              </c:numCache>
            </c:numRef>
          </c:xVal>
          <c:yVal>
            <c:numRef>
              <c:f>DMMB!$BL$31:$BL$40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F-45D2-A942-8F3359AC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10792"/>
        <c:axId val="819106472"/>
      </c:scatterChart>
      <c:valAx>
        <c:axId val="819110792"/>
        <c:scaling>
          <c:orientation val="minMax"/>
          <c:max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06472"/>
        <c:crosses val="autoZero"/>
        <c:crossBetween val="midCat"/>
      </c:valAx>
      <c:valAx>
        <c:axId val="8191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416885389326334E-2"/>
                  <c:y val="-0.24344269466316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OHP!$C$23:$C$31</c:f>
              <c:numCache>
                <c:formatCode>0.0000</c:formatCode>
                <c:ptCount val="9"/>
                <c:pt idx="0">
                  <c:v>4.6304347826087097E-3</c:v>
                </c:pt>
                <c:pt idx="1">
                  <c:v>7.0630434782608706E-2</c:v>
                </c:pt>
                <c:pt idx="2">
                  <c:v>0.13663043478260872</c:v>
                </c:pt>
                <c:pt idx="3">
                  <c:v>0.39513043478260873</c:v>
                </c:pt>
                <c:pt idx="4">
                  <c:v>0.48613043478260876</c:v>
                </c:pt>
                <c:pt idx="5">
                  <c:v>0.8576304347826087</c:v>
                </c:pt>
                <c:pt idx="6">
                  <c:v>1.7211304347826086</c:v>
                </c:pt>
                <c:pt idx="7">
                  <c:v>2.9506304347826084</c:v>
                </c:pt>
              </c:numCache>
            </c:numRef>
          </c:xVal>
          <c:yVal>
            <c:numRef>
              <c:f>OHP!$D$23:$D$31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0-4CAE-85CE-2343B303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65896"/>
        <c:axId val="487866224"/>
      </c:scatterChart>
      <c:valAx>
        <c:axId val="48786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66224"/>
        <c:crosses val="autoZero"/>
        <c:crossBetween val="midCat"/>
      </c:valAx>
      <c:valAx>
        <c:axId val="487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6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Alamar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Summary'!$E$3:$E$6</c:f>
              <c:numCache>
                <c:formatCode>0.00</c:formatCode>
                <c:ptCount val="4"/>
                <c:pt idx="0">
                  <c:v>1.2432735914878772</c:v>
                </c:pt>
                <c:pt idx="1">
                  <c:v>1.228395061728395</c:v>
                </c:pt>
                <c:pt idx="2">
                  <c:v>1.9259259259259258</c:v>
                </c:pt>
                <c:pt idx="3">
                  <c:v>2.174074074074074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A-497A-8C13-74F631AE4C21}"/>
            </c:ext>
          </c:extLst>
        </c:ser>
        <c:ser>
          <c:idx val="0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 Summary'!$C$7:$C$10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Summary'!$E$7:$E$10</c:f>
              <c:numCache>
                <c:formatCode>0.00</c:formatCode>
                <c:ptCount val="4"/>
                <c:pt idx="0">
                  <c:v>1.1070422535211266</c:v>
                </c:pt>
                <c:pt idx="1">
                  <c:v>1.3432098765432097</c:v>
                </c:pt>
                <c:pt idx="2">
                  <c:v>1.6372670807453418</c:v>
                </c:pt>
                <c:pt idx="3">
                  <c:v>2.2666626833567354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97A-8C13-74F631AE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86544"/>
        <c:axId val="584930928"/>
      </c:barChart>
      <c:catAx>
        <c:axId val="6438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0928"/>
        <c:crosses val="autoZero"/>
        <c:auto val="1"/>
        <c:lblAlgn val="ctr"/>
        <c:lblOffset val="100"/>
        <c:noMultiLvlLbl val="0"/>
      </c:catAx>
      <c:valAx>
        <c:axId val="5849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31014873140858E-2"/>
                  <c:y val="-0.20924941673957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OHP!$S$23:$S$31</c:f>
              <c:numCache>
                <c:formatCode>0.0000</c:formatCode>
                <c:ptCount val="9"/>
                <c:pt idx="0">
                  <c:v>2.2115384615384731E-3</c:v>
                </c:pt>
                <c:pt idx="1">
                  <c:v>8.821153846153848E-2</c:v>
                </c:pt>
                <c:pt idx="2">
                  <c:v>0.16871153846153847</c:v>
                </c:pt>
                <c:pt idx="3">
                  <c:v>0.43021153846153848</c:v>
                </c:pt>
                <c:pt idx="4">
                  <c:v>0.61371153846153847</c:v>
                </c:pt>
                <c:pt idx="5">
                  <c:v>0.77521153846153845</c:v>
                </c:pt>
                <c:pt idx="6">
                  <c:v>1.4557115384615384</c:v>
                </c:pt>
              </c:numCache>
            </c:numRef>
          </c:xVal>
          <c:yVal>
            <c:numRef>
              <c:f>OHP!$T$23:$T$31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3AD-9634-2D1076E1B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0128"/>
        <c:axId val="490370456"/>
      </c:scatterChart>
      <c:valAx>
        <c:axId val="4903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0456"/>
        <c:crosses val="autoZero"/>
        <c:crossBetween val="midCat"/>
      </c:valAx>
      <c:valAx>
        <c:axId val="490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53543307086615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OHP!$AI$23:$AI$30</c:f>
              <c:numCache>
                <c:formatCode>General</c:formatCode>
                <c:ptCount val="8"/>
                <c:pt idx="0">
                  <c:v>3.5613636363636361E-2</c:v>
                </c:pt>
                <c:pt idx="1">
                  <c:v>0.14911363636363636</c:v>
                </c:pt>
                <c:pt idx="2">
                  <c:v>0.28811363636363635</c:v>
                </c:pt>
                <c:pt idx="3">
                  <c:v>0.53811363636363629</c:v>
                </c:pt>
                <c:pt idx="4">
                  <c:v>0.77361363636363634</c:v>
                </c:pt>
                <c:pt idx="5">
                  <c:v>0.91961363636363636</c:v>
                </c:pt>
                <c:pt idx="6">
                  <c:v>1.7096136363636363</c:v>
                </c:pt>
                <c:pt idx="7">
                  <c:v>3.0006136363636364</c:v>
                </c:pt>
              </c:numCache>
            </c:numRef>
          </c:xVal>
          <c:yVal>
            <c:numRef>
              <c:f>OHP!$AJ$23:$AJ$30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E-402A-B6F6-FC951BE0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0104"/>
        <c:axId val="572610432"/>
      </c:scatterChart>
      <c:valAx>
        <c:axId val="5726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0432"/>
        <c:crosses val="autoZero"/>
        <c:crossBetween val="midCat"/>
      </c:valAx>
      <c:valAx>
        <c:axId val="572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245370370370371"/>
          <c:w val="0.8743775153105861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213473315835522E-2"/>
                  <c:y val="-0.39114792942548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OHP!$AY$23:$AY$31</c:f>
              <c:numCache>
                <c:formatCode>General</c:formatCode>
                <c:ptCount val="9"/>
                <c:pt idx="0">
                  <c:v>1.2571428571428581E-2</c:v>
                </c:pt>
                <c:pt idx="1">
                  <c:v>0.13807142857142857</c:v>
                </c:pt>
                <c:pt idx="2">
                  <c:v>0.26307142857142857</c:v>
                </c:pt>
                <c:pt idx="3">
                  <c:v>0.49557142857142861</c:v>
                </c:pt>
                <c:pt idx="4">
                  <c:v>0.72857142857142865</c:v>
                </c:pt>
                <c:pt idx="5">
                  <c:v>0.87207142857142861</c:v>
                </c:pt>
                <c:pt idx="6">
                  <c:v>1.5945714285714285</c:v>
                </c:pt>
                <c:pt idx="7">
                  <c:v>2.9265714285714282</c:v>
                </c:pt>
              </c:numCache>
            </c:numRef>
          </c:xVal>
          <c:yVal>
            <c:numRef>
              <c:f>OHP!$AZ$23:$AZ$31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C-49C3-A382-AD347649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58544"/>
        <c:axId val="562059200"/>
      </c:scatterChart>
      <c:valAx>
        <c:axId val="5620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9200"/>
        <c:crosses val="autoZero"/>
        <c:crossBetween val="midCat"/>
      </c:valAx>
      <c:valAx>
        <c:axId val="562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19072615923007E-2"/>
                  <c:y val="-0.44486329833770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OHP!$BO$23:$BO$32</c:f>
              <c:numCache>
                <c:formatCode>General</c:formatCode>
                <c:ptCount val="10"/>
                <c:pt idx="0">
                  <c:v>1.1913043478260874E-2</c:v>
                </c:pt>
                <c:pt idx="1">
                  <c:v>0.12941304347826088</c:v>
                </c:pt>
                <c:pt idx="2">
                  <c:v>0.23941304347826087</c:v>
                </c:pt>
                <c:pt idx="3">
                  <c:v>0.44791304347826089</c:v>
                </c:pt>
                <c:pt idx="4">
                  <c:v>0.66391304347826074</c:v>
                </c:pt>
                <c:pt idx="5">
                  <c:v>0.83241304347826084</c:v>
                </c:pt>
                <c:pt idx="6">
                  <c:v>1.5744130434782608</c:v>
                </c:pt>
                <c:pt idx="7">
                  <c:v>3.0009130434782607</c:v>
                </c:pt>
              </c:numCache>
            </c:numRef>
          </c:xVal>
          <c:yVal>
            <c:numRef>
              <c:f>OHP!$BP$23:$BP$32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100</c:v>
                </c:pt>
                <c:pt idx="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C-46C5-A93D-03DF7B9C1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9296"/>
        <c:axId val="627645032"/>
      </c:scatterChart>
      <c:valAx>
        <c:axId val="627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5032"/>
        <c:crosses val="autoZero"/>
        <c:crossBetween val="midCat"/>
      </c:valAx>
      <c:valAx>
        <c:axId val="6276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89238845144356E-3"/>
                  <c:y val="-0.45364355497229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OHP!$CE$23:$CE$32</c:f>
              <c:numCache>
                <c:formatCode>General</c:formatCode>
                <c:ptCount val="10"/>
                <c:pt idx="0">
                  <c:v>6.568181818181848E-3</c:v>
                </c:pt>
                <c:pt idx="1">
                  <c:v>0.16806818181818184</c:v>
                </c:pt>
                <c:pt idx="2">
                  <c:v>0.3035681818181819</c:v>
                </c:pt>
                <c:pt idx="3">
                  <c:v>0.54356818181818178</c:v>
                </c:pt>
                <c:pt idx="4">
                  <c:v>0.77456818181818177</c:v>
                </c:pt>
                <c:pt idx="5">
                  <c:v>0.96756818181818183</c:v>
                </c:pt>
                <c:pt idx="6">
                  <c:v>1.7225681818181819</c:v>
                </c:pt>
                <c:pt idx="7">
                  <c:v>3.1405681818181819</c:v>
                </c:pt>
              </c:numCache>
            </c:numRef>
          </c:xVal>
          <c:yVal>
            <c:numRef>
              <c:f>OHP!$CF$23:$CF$32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100</c:v>
                </c:pt>
                <c:pt idx="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7-4F85-974C-2901518C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7000"/>
        <c:axId val="627653888"/>
      </c:scatterChart>
      <c:valAx>
        <c:axId val="6276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3888"/>
        <c:crosses val="autoZero"/>
        <c:crossBetween val="midCat"/>
      </c:valAx>
      <c:valAx>
        <c:axId val="6276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OHP!$CU$23:$CU$29</c:f>
              <c:numCache>
                <c:formatCode>General</c:formatCode>
                <c:ptCount val="7"/>
                <c:pt idx="0">
                  <c:v>0.80606818181818185</c:v>
                </c:pt>
                <c:pt idx="1">
                  <c:v>0.97606818181818178</c:v>
                </c:pt>
                <c:pt idx="2">
                  <c:v>1.0480681818181818</c:v>
                </c:pt>
                <c:pt idx="3">
                  <c:v>1.4000681818181819</c:v>
                </c:pt>
                <c:pt idx="4">
                  <c:v>1.7040681818181818</c:v>
                </c:pt>
                <c:pt idx="5">
                  <c:v>1.9175681818181816</c:v>
                </c:pt>
                <c:pt idx="6">
                  <c:v>2.8410681818181818</c:v>
                </c:pt>
              </c:numCache>
            </c:numRef>
          </c:xVal>
          <c:yVal>
            <c:numRef>
              <c:f>OHP!$CV$23:$CV$29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C-48EC-81C5-F4C3C436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17432"/>
        <c:axId val="663512512"/>
      </c:scatterChart>
      <c:valAx>
        <c:axId val="66351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2512"/>
        <c:crosses val="autoZero"/>
        <c:crossBetween val="midCat"/>
      </c:valAx>
      <c:valAx>
        <c:axId val="6635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1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98180766426792E-2"/>
                  <c:y val="-0.19307852143482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'MMP Activity'!$C$12:$C$19</c:f>
              <c:numCache>
                <c:formatCode>General</c:formatCode>
                <c:ptCount val="8"/>
                <c:pt idx="0">
                  <c:v>0</c:v>
                </c:pt>
                <c:pt idx="1">
                  <c:v>9563.5</c:v>
                </c:pt>
                <c:pt idx="2">
                  <c:v>19968</c:v>
                </c:pt>
                <c:pt idx="3">
                  <c:v>40005</c:v>
                </c:pt>
                <c:pt idx="4">
                  <c:v>85036.5</c:v>
                </c:pt>
                <c:pt idx="5">
                  <c:v>156554</c:v>
                </c:pt>
                <c:pt idx="6">
                  <c:v>312376</c:v>
                </c:pt>
                <c:pt idx="7">
                  <c:v>646973.5</c:v>
                </c:pt>
              </c:numCache>
            </c:numRef>
          </c:xVal>
          <c:yVal>
            <c:numRef>
              <c:f>'MMP Activity'!$D$12:$D$19</c:f>
              <c:numCache>
                <c:formatCode>General</c:formatCode>
                <c:ptCount val="8"/>
                <c:pt idx="0">
                  <c:v>0</c:v>
                </c:pt>
                <c:pt idx="1">
                  <c:v>3.9E-2</c:v>
                </c:pt>
                <c:pt idx="2">
                  <c:v>7.8E-2</c:v>
                </c:pt>
                <c:pt idx="3">
                  <c:v>0.156</c:v>
                </c:pt>
                <c:pt idx="4">
                  <c:v>0.3125</c:v>
                </c:pt>
                <c:pt idx="5">
                  <c:v>0.625</c:v>
                </c:pt>
                <c:pt idx="6">
                  <c:v>1.25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A-43E6-8145-03ACDD0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21576"/>
        <c:axId val="671222296"/>
      </c:scatterChart>
      <c:valAx>
        <c:axId val="6712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2296"/>
        <c:crosses val="autoZero"/>
        <c:crossBetween val="midCat"/>
      </c:valAx>
      <c:valAx>
        <c:axId val="6712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0122484689412E-2"/>
                  <c:y val="-0.19393190434529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'MMP Activity'!$P$12:$P$19</c:f>
              <c:numCache>
                <c:formatCode>General</c:formatCode>
                <c:ptCount val="8"/>
                <c:pt idx="0">
                  <c:v>0</c:v>
                </c:pt>
                <c:pt idx="1">
                  <c:v>10163</c:v>
                </c:pt>
                <c:pt idx="2">
                  <c:v>25049</c:v>
                </c:pt>
                <c:pt idx="3">
                  <c:v>50219</c:v>
                </c:pt>
                <c:pt idx="4">
                  <c:v>98205.5</c:v>
                </c:pt>
                <c:pt idx="5">
                  <c:v>189809.5</c:v>
                </c:pt>
                <c:pt idx="6">
                  <c:v>381118.5</c:v>
                </c:pt>
                <c:pt idx="7">
                  <c:v>724662.5</c:v>
                </c:pt>
              </c:numCache>
            </c:numRef>
          </c:xVal>
          <c:yVal>
            <c:numRef>
              <c:f>'MMP Activity'!$Q$12:$Q$19</c:f>
              <c:numCache>
                <c:formatCode>General</c:formatCode>
                <c:ptCount val="8"/>
                <c:pt idx="0">
                  <c:v>0</c:v>
                </c:pt>
                <c:pt idx="1">
                  <c:v>3.9E-2</c:v>
                </c:pt>
                <c:pt idx="2">
                  <c:v>7.8E-2</c:v>
                </c:pt>
                <c:pt idx="3">
                  <c:v>0.156</c:v>
                </c:pt>
                <c:pt idx="4">
                  <c:v>0.3125</c:v>
                </c:pt>
                <c:pt idx="5">
                  <c:v>0.625</c:v>
                </c:pt>
                <c:pt idx="6">
                  <c:v>1.25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4-4911-98D1-722490B5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92096"/>
        <c:axId val="921792456"/>
      </c:scatterChart>
      <c:valAx>
        <c:axId val="9217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92456"/>
        <c:crosses val="autoZero"/>
        <c:crossBetween val="midCat"/>
      </c:valAx>
      <c:valAx>
        <c:axId val="9217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 Summary'!$C$3:$C$6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Summary'!$F$3:$F$6</c:f>
              <c:numCache>
                <c:formatCode>0.00</c:formatCode>
                <c:ptCount val="4"/>
                <c:pt idx="0">
                  <c:v>75.381950833333335</c:v>
                </c:pt>
                <c:pt idx="1">
                  <c:v>92.115376623376619</c:v>
                </c:pt>
                <c:pt idx="2">
                  <c:v>52.425410714285711</c:v>
                </c:pt>
                <c:pt idx="3">
                  <c:v>54.98395499999998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9-465D-AC46-9B029E317D99}"/>
            </c:ext>
          </c:extLst>
        </c:ser>
        <c:ser>
          <c:idx val="1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 Summary'!$F$7:$F$10</c:f>
              <c:numCache>
                <c:formatCode>0.00</c:formatCode>
                <c:ptCount val="4"/>
                <c:pt idx="0">
                  <c:v>77.302838333333327</c:v>
                </c:pt>
                <c:pt idx="1">
                  <c:v>61.360482597402594</c:v>
                </c:pt>
                <c:pt idx="2">
                  <c:v>28.457413333333335</c:v>
                </c:pt>
                <c:pt idx="3">
                  <c:v>31.733552380952375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9-465D-AC46-9B029E31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904360"/>
        <c:axId val="584904688"/>
      </c:barChart>
      <c:catAx>
        <c:axId val="5849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4688"/>
        <c:crosses val="autoZero"/>
        <c:auto val="1"/>
        <c:lblAlgn val="ctr"/>
        <c:lblOffset val="100"/>
        <c:noMultiLvlLbl val="0"/>
      </c:catAx>
      <c:valAx>
        <c:axId val="5849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0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 Summary'!$C$3:$C$6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Summary'!$H$3:$H$6</c:f>
              <c:numCache>
                <c:formatCode>0.00</c:formatCode>
                <c:ptCount val="4"/>
                <c:pt idx="0">
                  <c:v>264.70499999999998</c:v>
                </c:pt>
                <c:pt idx="1">
                  <c:v>295.12836363636364</c:v>
                </c:pt>
                <c:pt idx="2">
                  <c:v>270.02533333333361</c:v>
                </c:pt>
                <c:pt idx="3">
                  <c:v>200.93274999999983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C-4DDF-B30B-1D3993BA6E36}"/>
            </c:ext>
          </c:extLst>
        </c:ser>
        <c:ser>
          <c:idx val="1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 Summary'!$H$7:$H$10</c:f>
              <c:numCache>
                <c:formatCode>0.00</c:formatCode>
                <c:ptCount val="4"/>
                <c:pt idx="0">
                  <c:v>231.0139999999999</c:v>
                </c:pt>
                <c:pt idx="1">
                  <c:v>221.3876363636362</c:v>
                </c:pt>
                <c:pt idx="2">
                  <c:v>222.35059999999984</c:v>
                </c:pt>
                <c:pt idx="3">
                  <c:v>183.04333333333329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C-4DDF-B30B-1D3993BA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056"/>
        <c:axId val="629282352"/>
      </c:barChart>
      <c:catAx>
        <c:axId val="62928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2352"/>
        <c:crosses val="autoZero"/>
        <c:auto val="1"/>
        <c:lblAlgn val="ctr"/>
        <c:lblOffset val="100"/>
        <c:noMultiLvlLbl val="0"/>
      </c:catAx>
      <c:valAx>
        <c:axId val="62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DMMB/DNA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 Summary'!$C$3:$C$6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Summary'!$I$3:$I$6</c:f>
              <c:numCache>
                <c:formatCode>0.00</c:formatCode>
                <c:ptCount val="4"/>
                <c:pt idx="0">
                  <c:v>3750.4745414388663</c:v>
                </c:pt>
                <c:pt idx="1">
                  <c:v>3225.2478676457317</c:v>
                </c:pt>
                <c:pt idx="2">
                  <c:v>5371.0273939744493</c:v>
                </c:pt>
                <c:pt idx="3">
                  <c:v>3802.471527843365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4E54-AAF7-A976BE7F5E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Summary'!$I$7:$I$10</c:f>
              <c:numCache>
                <c:formatCode>0.00</c:formatCode>
                <c:ptCount val="4"/>
                <c:pt idx="0">
                  <c:v>3042.0877748243925</c:v>
                </c:pt>
                <c:pt idx="1">
                  <c:v>3650.9822362363207</c:v>
                </c:pt>
                <c:pt idx="2">
                  <c:v>8211.3260827161139</c:v>
                </c:pt>
                <c:pt idx="3">
                  <c:v>5951.7905263214152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4E54-AAF7-A976BE7F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056"/>
        <c:axId val="629282352"/>
      </c:barChart>
      <c:catAx>
        <c:axId val="62928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2352"/>
        <c:crosses val="autoZero"/>
        <c:auto val="1"/>
        <c:lblAlgn val="ctr"/>
        <c:lblOffset val="100"/>
        <c:noMultiLvlLbl val="0"/>
      </c:catAx>
      <c:valAx>
        <c:axId val="62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DMMB/DW</a:t>
            </a:r>
          </a:p>
        </c:rich>
      </c:tx>
      <c:layout>
        <c:manualLayout>
          <c:xMode val="edge"/>
          <c:yMode val="edge"/>
          <c:x val="0.43982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 Summary'!$C$3:$C$6</c:f>
              <c:strCache>
                <c:ptCount val="4"/>
                <c:pt idx="0">
                  <c:v>D0</c:v>
                </c:pt>
                <c:pt idx="1">
                  <c:v>D1</c:v>
                </c:pt>
                <c:pt idx="2">
                  <c:v>D7</c:v>
                </c:pt>
                <c:pt idx="3">
                  <c:v>D7 NC</c:v>
                </c:pt>
              </c:strCache>
            </c:strRef>
          </c:cat>
          <c:val>
            <c:numRef>
              <c:f>'All Data Summary'!$J$3:$J$6</c:f>
              <c:numCache>
                <c:formatCode>0.00</c:formatCode>
                <c:ptCount val="4"/>
                <c:pt idx="0">
                  <c:v>638.03731567501575</c:v>
                </c:pt>
                <c:pt idx="1">
                  <c:v>553.0854599532812</c:v>
                </c:pt>
                <c:pt idx="2">
                  <c:v>489.63054616791652</c:v>
                </c:pt>
                <c:pt idx="3">
                  <c:v>366.78298686543781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692-82B7-CC16E52F8E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Summary'!$J$7:$J$10</c:f>
              <c:numCache>
                <c:formatCode>0.00</c:formatCode>
                <c:ptCount val="4"/>
                <c:pt idx="0">
                  <c:v>435.63999229615433</c:v>
                </c:pt>
                <c:pt idx="1">
                  <c:v>425.87555007447958</c:v>
                </c:pt>
                <c:pt idx="2">
                  <c:v>467.33333946211968</c:v>
                </c:pt>
                <c:pt idx="3">
                  <c:v>436.16113805935947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F-4692-82B7-CC16E52F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056"/>
        <c:axId val="629282352"/>
      </c:barChart>
      <c:catAx>
        <c:axId val="62928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2352"/>
        <c:crosses val="autoZero"/>
        <c:auto val="1"/>
        <c:lblAlgn val="ctr"/>
        <c:lblOffset val="100"/>
        <c:noMultiLvlLbl val="0"/>
      </c:catAx>
      <c:valAx>
        <c:axId val="62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6708333333333336"/>
          <c:w val="0.7397898075240595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Summary'!$K$3:$K$6</c:f>
              <c:numCache>
                <c:formatCode>0.00</c:formatCode>
                <c:ptCount val="4"/>
                <c:pt idx="0">
                  <c:v>81.516748732104631</c:v>
                </c:pt>
                <c:pt idx="1">
                  <c:v>117.65887411203541</c:v>
                </c:pt>
                <c:pt idx="2">
                  <c:v>106.47977176063632</c:v>
                </c:pt>
                <c:pt idx="3">
                  <c:v>125.47672480024038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5-4D11-99DE-71B244D4A459}"/>
            </c:ext>
          </c:extLst>
        </c:ser>
        <c:ser>
          <c:idx val="1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 Summary'!$K$7:$K$10</c:f>
              <c:numCache>
                <c:formatCode>0.00</c:formatCode>
                <c:ptCount val="4"/>
                <c:pt idx="0">
                  <c:v>96.18330745919836</c:v>
                </c:pt>
                <c:pt idx="1">
                  <c:v>114.40053104767171</c:v>
                </c:pt>
                <c:pt idx="2">
                  <c:v>89.852867727935859</c:v>
                </c:pt>
                <c:pt idx="3">
                  <c:v>71.702422656136363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5-4D11-99DE-71B244D4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43016"/>
        <c:axId val="439439736"/>
      </c:barChart>
      <c:catAx>
        <c:axId val="43944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9736"/>
        <c:crosses val="autoZero"/>
        <c:auto val="1"/>
        <c:lblAlgn val="ctr"/>
        <c:lblOffset val="100"/>
        <c:noMultiLvlLbl val="0"/>
      </c:catAx>
      <c:valAx>
        <c:axId val="4394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4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OHP/DW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4m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 Summary'!$M$3:$M$6</c:f>
              <c:numCache>
                <c:formatCode>0.00</c:formatCode>
                <c:ptCount val="4"/>
                <c:pt idx="0">
                  <c:v>194.43644715916793</c:v>
                </c:pt>
                <c:pt idx="1">
                  <c:v>218.57106257820325</c:v>
                </c:pt>
                <c:pt idx="2">
                  <c:v>192.84501924996638</c:v>
                </c:pt>
                <c:pt idx="3">
                  <c:v>228.80782757220825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0-41AE-82B3-CFAE7941BB88}"/>
            </c:ext>
          </c:extLst>
        </c:ser>
        <c:ser>
          <c:idx val="0"/>
          <c:order val="1"/>
          <c:tx>
            <c:v>24m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 Summary'!$M$7:$M$10</c:f>
              <c:numCache>
                <c:formatCode>0.00</c:formatCode>
                <c:ptCount val="4"/>
                <c:pt idx="0">
                  <c:v>180.42606973756256</c:v>
                </c:pt>
                <c:pt idx="1">
                  <c:v>219.17586699578681</c:v>
                </c:pt>
                <c:pt idx="2">
                  <c:v>191.40076650192754</c:v>
                </c:pt>
                <c:pt idx="3">
                  <c:v>168.753030504252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0-41AE-82B3-CFAE7941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27904"/>
        <c:axId val="565928560"/>
      </c:barChart>
      <c:catAx>
        <c:axId val="5659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28560"/>
        <c:crosses val="autoZero"/>
        <c:auto val="1"/>
        <c:lblAlgn val="ctr"/>
        <c:lblOffset val="100"/>
        <c:noMultiLvlLbl val="0"/>
      </c:catAx>
      <c:valAx>
        <c:axId val="5659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06036745406821E-2"/>
                  <c:y val="-0.18618693496646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Picogreen!$C$24:$C$29</c:f>
              <c:numCache>
                <c:formatCode>0.0000</c:formatCode>
                <c:ptCount val="6"/>
                <c:pt idx="0">
                  <c:v>0.26666666666666661</c:v>
                </c:pt>
                <c:pt idx="1">
                  <c:v>12.766666666666666</c:v>
                </c:pt>
                <c:pt idx="3">
                  <c:v>41.766666666666666</c:v>
                </c:pt>
                <c:pt idx="4">
                  <c:v>72.266666666666666</c:v>
                </c:pt>
                <c:pt idx="5">
                  <c:v>116.76666666666667</c:v>
                </c:pt>
              </c:numCache>
            </c:numRef>
          </c:xVal>
          <c:yVal>
            <c:numRef>
              <c:f>Picogreen!$D$24:$D$29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854-9055-304E8320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1096"/>
        <c:axId val="577128968"/>
      </c:scatterChart>
      <c:valAx>
        <c:axId val="5771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8968"/>
        <c:crosses val="autoZero"/>
        <c:crossBetween val="midCat"/>
      </c:valAx>
      <c:valAx>
        <c:axId val="5771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10</xdr:row>
      <xdr:rowOff>61912</xdr:rowOff>
    </xdr:from>
    <xdr:to>
      <xdr:col>5</xdr:col>
      <xdr:colOff>481012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02267-069F-416A-9552-BAF632651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10</xdr:row>
      <xdr:rowOff>61912</xdr:rowOff>
    </xdr:from>
    <xdr:to>
      <xdr:col>10</xdr:col>
      <xdr:colOff>285750</xdr:colOff>
      <xdr:row>24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3B3DC-2D09-41F2-9300-2CB0B909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338137</xdr:colOff>
      <xdr:row>10</xdr:row>
      <xdr:rowOff>71437</xdr:rowOff>
    </xdr:from>
    <xdr:to>
      <xdr:col>17</xdr:col>
      <xdr:colOff>52387</xdr:colOff>
      <xdr:row>24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03E2D4-2685-4C65-8834-0BD7ECA9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280987</xdr:colOff>
      <xdr:row>25</xdr:row>
      <xdr:rowOff>176212</xdr:rowOff>
    </xdr:from>
    <xdr:to>
      <xdr:col>5</xdr:col>
      <xdr:colOff>709612</xdr:colOff>
      <xdr:row>40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D777C-4BED-4F0A-8AC4-6BE857774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809625</xdr:colOff>
      <xdr:row>25</xdr:row>
      <xdr:rowOff>142875</xdr:rowOff>
    </xdr:from>
    <xdr:to>
      <xdr:col>11</xdr:col>
      <xdr:colOff>552450</xdr:colOff>
      <xdr:row>40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6A132A-C3C9-4BEB-8050-713D6E02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609600</xdr:colOff>
      <xdr:row>25</xdr:row>
      <xdr:rowOff>171450</xdr:rowOff>
    </xdr:from>
    <xdr:to>
      <xdr:col>18</xdr:col>
      <xdr:colOff>533400</xdr:colOff>
      <xdr:row>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D1308E-9DF1-4662-A28E-7EBC5FA96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40</xdr:row>
      <xdr:rowOff>109537</xdr:rowOff>
    </xdr:from>
    <xdr:to>
      <xdr:col>5</xdr:col>
      <xdr:colOff>685800</xdr:colOff>
      <xdr:row>54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39312-6D53-495F-A259-0509AFEC2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857250</xdr:colOff>
      <xdr:row>40</xdr:row>
      <xdr:rowOff>71437</xdr:rowOff>
    </xdr:from>
    <xdr:to>
      <xdr:col>11</xdr:col>
      <xdr:colOff>0</xdr:colOff>
      <xdr:row>54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61324-187B-471C-AD02-E3D8DE9E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20</xdr:row>
      <xdr:rowOff>61912</xdr:rowOff>
    </xdr:from>
    <xdr:to>
      <xdr:col>14</xdr:col>
      <xdr:colOff>314325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EB04-F441-44A4-A0BC-A25D62A8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552450</xdr:colOff>
      <xdr:row>20</xdr:row>
      <xdr:rowOff>61912</xdr:rowOff>
    </xdr:from>
    <xdr:to>
      <xdr:col>29</xdr:col>
      <xdr:colOff>247650</xdr:colOff>
      <xdr:row>34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7B597-8096-47D0-95A0-FC113A75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485775</xdr:colOff>
      <xdr:row>20</xdr:row>
      <xdr:rowOff>42862</xdr:rowOff>
    </xdr:from>
    <xdr:to>
      <xdr:col>43</xdr:col>
      <xdr:colOff>180975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2D308-CB33-466C-864E-95C140B4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552450</xdr:colOff>
      <xdr:row>20</xdr:row>
      <xdr:rowOff>42862</xdr:rowOff>
    </xdr:from>
    <xdr:to>
      <xdr:col>58</xdr:col>
      <xdr:colOff>247650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3B0CB-740B-4103-BCEF-F3B078057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66675</xdr:colOff>
      <xdr:row>20</xdr:row>
      <xdr:rowOff>23812</xdr:rowOff>
    </xdr:from>
    <xdr:to>
      <xdr:col>73</xdr:col>
      <xdr:colOff>371475</xdr:colOff>
      <xdr:row>34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92BD88-A8D7-B184-3F42-7B2B65AD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28</xdr:row>
      <xdr:rowOff>80962</xdr:rowOff>
    </xdr:from>
    <xdr:to>
      <xdr:col>12</xdr:col>
      <xdr:colOff>252412</xdr:colOff>
      <xdr:row>42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37166-60DE-4223-831C-0A4F558B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28</xdr:row>
      <xdr:rowOff>42862</xdr:rowOff>
    </xdr:from>
    <xdr:to>
      <xdr:col>27</xdr:col>
      <xdr:colOff>295275</xdr:colOff>
      <xdr:row>42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21F66-2FB9-497D-AAF0-1D81BFA8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180975</xdr:colOff>
      <xdr:row>28</xdr:row>
      <xdr:rowOff>100012</xdr:rowOff>
    </xdr:from>
    <xdr:to>
      <xdr:col>42</xdr:col>
      <xdr:colOff>485775</xdr:colOff>
      <xdr:row>42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758FB-EE37-4E05-BB13-B1966756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72838</xdr:colOff>
      <xdr:row>28</xdr:row>
      <xdr:rowOff>57149</xdr:rowOff>
    </xdr:from>
    <xdr:to>
      <xdr:col>57</xdr:col>
      <xdr:colOff>409015</xdr:colOff>
      <xdr:row>42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99A13-C69E-4C2D-A02E-757A669B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485775</xdr:colOff>
      <xdr:row>27</xdr:row>
      <xdr:rowOff>185737</xdr:rowOff>
    </xdr:from>
    <xdr:to>
      <xdr:col>72</xdr:col>
      <xdr:colOff>180975</xdr:colOff>
      <xdr:row>42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EDF1-B2E3-5B26-14E1-E11A57DE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20</xdr:row>
      <xdr:rowOff>90487</xdr:rowOff>
    </xdr:from>
    <xdr:to>
      <xdr:col>12</xdr:col>
      <xdr:colOff>257175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FB77A-E07E-4D4E-8BF8-3DBC62BC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20</xdr:row>
      <xdr:rowOff>61912</xdr:rowOff>
    </xdr:from>
    <xdr:to>
      <xdr:col>28</xdr:col>
      <xdr:colOff>276225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DBE0B-D5D0-4511-BDF2-694C984E4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442516</xdr:colOff>
      <xdr:row>20</xdr:row>
      <xdr:rowOff>76994</xdr:rowOff>
    </xdr:from>
    <xdr:to>
      <xdr:col>44</xdr:col>
      <xdr:colOff>172641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D018A-DA8A-4321-9F41-8FBD09E40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571500</xdr:colOff>
      <xdr:row>20</xdr:row>
      <xdr:rowOff>7541</xdr:rowOff>
    </xdr:from>
    <xdr:to>
      <xdr:col>60</xdr:col>
      <xdr:colOff>301625</xdr:colOff>
      <xdr:row>34</xdr:row>
      <xdr:rowOff>111522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22968-8CB2-4E55-9239-BE4D67A5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492125</xdr:colOff>
      <xdr:row>20</xdr:row>
      <xdr:rowOff>27385</xdr:rowOff>
    </xdr:from>
    <xdr:to>
      <xdr:col>76</xdr:col>
      <xdr:colOff>222250</xdr:colOff>
      <xdr:row>34</xdr:row>
      <xdr:rowOff>131366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A033E-059A-4888-8EA6-C07E22ABF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581421</xdr:colOff>
      <xdr:row>20</xdr:row>
      <xdr:rowOff>37306</xdr:rowOff>
    </xdr:from>
    <xdr:to>
      <xdr:col>92</xdr:col>
      <xdr:colOff>311546</xdr:colOff>
      <xdr:row>34</xdr:row>
      <xdr:rowOff>141287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56932-5581-4630-8BD3-E835A5C8E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100</xdr:col>
      <xdr:colOff>531812</xdr:colOff>
      <xdr:row>20</xdr:row>
      <xdr:rowOff>17463</xdr:rowOff>
    </xdr:from>
    <xdr:to>
      <xdr:col>108</xdr:col>
      <xdr:colOff>261937</xdr:colOff>
      <xdr:row>34</xdr:row>
      <xdr:rowOff>121444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F2668E-6A14-4C40-9F7A-0662BE41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10</xdr:row>
      <xdr:rowOff>42862</xdr:rowOff>
    </xdr:from>
    <xdr:to>
      <xdr:col>13</xdr:col>
      <xdr:colOff>219075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60BC9-BA04-E748-70B9-5EF411AB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504264</xdr:colOff>
      <xdr:row>10</xdr:row>
      <xdr:rowOff>57149</xdr:rowOff>
    </xdr:from>
    <xdr:to>
      <xdr:col>26</xdr:col>
      <xdr:colOff>235323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6B0D5-A7EB-A9B3-1237-C0779726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eng_research_ConnizzoLab/Users/smlawer/Acute%20Injury/Biochem/SJM_AI_MSD_Plate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lawer, Sam J" refreshedDate="45121.538939004633" createdVersion="8" refreshedVersion="8" minRefreshableVersion="3" recordCount="672" xr:uid="{922FD5B2-A2C8-46A7-ABB8-489BA0F6C291}">
  <cacheSource type="worksheet">
    <worksheetSource ref="A2:L674" sheet="Raw" r:id="rId2"/>
  </cacheSource>
  <cacheFields count="12">
    <cacheField name="Sample" numFmtId="0">
      <sharedItems count="48">
        <s v="S001"/>
        <s v="S002"/>
        <s v="S003"/>
        <s v="S004"/>
        <s v="S005"/>
        <s v="S006"/>
        <s v="S007"/>
        <s v="S008"/>
        <s v="U001"/>
        <s v="U002"/>
        <s v="U003"/>
        <s v="U004"/>
        <s v="U005"/>
        <s v="U006"/>
        <s v="U007"/>
        <s v="U008"/>
        <s v="U009"/>
        <s v="U010"/>
        <s v="U011"/>
        <s v="U012"/>
        <s v="U013"/>
        <s v="U014"/>
        <s v="U015"/>
        <s v="U016"/>
        <s v="U017"/>
        <s v="U018"/>
        <s v="U019"/>
        <s v="U020"/>
        <s v="U021"/>
        <s v="U022"/>
        <s v="U023"/>
        <s v="U024"/>
        <s v="U025"/>
        <s v="U026"/>
        <s v="U027"/>
        <s v="U028"/>
        <s v="U029"/>
        <s v="U030"/>
        <s v="U031"/>
        <s v="U032"/>
        <s v="U033"/>
        <s v="U034"/>
        <s v="U035"/>
        <s v="U036"/>
        <s v="U037"/>
        <s v="U038"/>
        <s v="U039"/>
        <s v="U040"/>
      </sharedItems>
    </cacheField>
    <cacheField name="Assay" numFmtId="0">
      <sharedItems count="7">
        <s v="IFN-γ"/>
        <s v="IL-1β"/>
        <s v="IL-6"/>
        <s v="KC/GRO"/>
        <s v="IL-10"/>
        <s v="IL-12p70"/>
        <s v="TNF-α"/>
      </sharedItems>
    </cacheField>
    <cacheField name="Well" numFmtId="0">
      <sharedItems/>
    </cacheField>
    <cacheField name="Spot" numFmtId="0">
      <sharedItems containsSemiMixedTypes="0" containsString="0" containsNumber="1" containsInteger="1" minValue="1" maxValue="10"/>
    </cacheField>
    <cacheField name="Concentration" numFmtId="0">
      <sharedItems containsString="0" containsBlank="1" containsNumber="1" minValue="0" maxValue="27900"/>
    </cacheField>
    <cacheField name="Signal" numFmtId="0">
      <sharedItems containsSemiMixedTypes="0" containsString="0" containsNumber="1" containsInteger="1" minValue="130" maxValue="2374293"/>
    </cacheField>
    <cacheField name="Adjusted Signal" numFmtId="0">
      <sharedItems containsSemiMixedTypes="0" containsString="0" containsNumber="1" containsInteger="1" minValue="130" maxValue="2374293"/>
    </cacheField>
    <cacheField name="Mean" numFmtId="0">
      <sharedItems containsSemiMixedTypes="0" containsString="0" containsNumber="1" containsInteger="1" minValue="139" maxValue="2358556"/>
    </cacheField>
    <cacheField name="Detection Range" numFmtId="0">
      <sharedItems/>
    </cacheField>
    <cacheField name="Adj. Sig. Mean" numFmtId="0">
      <sharedItems containsSemiMixedTypes="0" containsString="0" containsNumber="1" minValue="138.5" maxValue="2358556"/>
    </cacheField>
    <cacheField name="Calc. Concentration" numFmtId="0">
      <sharedItems containsMixedTypes="1" containsNumber="1" minValue="2.10504212969641E-4" maxValue="28346.8985413339" count="480">
        <n v="1038.53816146334"/>
        <n v="1000.33845741006"/>
        <n v="260.512311022218"/>
        <n v="269.386571326634"/>
        <n v="64.549448203865197"/>
        <n v="65.238496661061802"/>
        <n v="15.7747537666338"/>
        <n v="15.604802594005699"/>
        <n v="3.9940025882039198"/>
        <n v="3.8718660220479801"/>
        <n v="1.05344110364244"/>
        <n v="0.98555417180530502"/>
        <n v="0.26165009984223903"/>
        <n v="0.25171105780366998"/>
        <s v="NaN"/>
        <n v="1.0526541654586601E-3"/>
        <n v="1.71741501512634E-2"/>
        <n v="1.8717052060177101E-2"/>
        <n v="4.7424281778234599E-3"/>
        <n v="8.9094807117122699E-3"/>
        <n v="9.42827068384809E-3"/>
        <n v="7.8707008348459801E-3"/>
        <n v="1.40827671137924E-2"/>
        <n v="4.2221105294398903E-2"/>
        <n v="2.5897387994325501E-2"/>
        <n v="2.6423138455599401E-3"/>
        <n v="1.0982500444312499E-2"/>
        <n v="1.45985610383938E-2"/>
        <n v="1.6144560223592199E-2"/>
        <n v="8.3902990707945494E-3"/>
        <n v="2.79438213915373E-2"/>
        <n v="1.8202941315726098E-2"/>
        <n v="6.30910222987539E-3"/>
        <n v="1.2017044595219699E-2"/>
        <n v="1.2533877981448499E-2"/>
        <n v="2.9988316126794302E-2"/>
        <n v="2.12849614128757E-2"/>
        <n v="1.6659458153695999E-2"/>
        <n v="5.16944855836713E-4"/>
        <n v="3.1688906375723701E-3"/>
        <n v="1.58468429064356E-3"/>
        <n v="1.35667284678028E-2"/>
        <n v="3.0499153233441999E-2"/>
        <n v="1.9230980086251601E-2"/>
        <n v="2.1798046027101399E-2"/>
        <n v="3.3561915614257698E-2"/>
        <n v="1.51141191182843E-2"/>
        <n v="1.30504355367185E-2"/>
        <n v="5.2653047780409704E-3"/>
        <n v="2.43611967183015E-2"/>
        <n v="2.3336376982338598E-2"/>
        <n v="2.0771716683467299E-2"/>
        <n v="4.0694830645442499E-2"/>
        <n v="6.8301373248791999E-3"/>
        <n v="1.5629449612731199E-2"/>
        <n v="2.6920856317207E-2"/>
        <n v="1648.24194678649"/>
        <n v="1824.98096047328"/>
        <n v="431.71386761534302"/>
        <n v="438.84219974771298"/>
        <n v="109.544611675071"/>
        <n v="115.28094662281499"/>
        <n v="26.203263841287601"/>
        <n v="26.5660212007034"/>
        <n v="7.1955976213642803"/>
        <n v="6.4149302824555798"/>
        <n v="1.75163093297492"/>
        <n v="1.5404608551983201"/>
        <n v="0.53357374831728599"/>
        <n v="0.37317844805360001"/>
        <n v="2.8723602535247398E-3"/>
        <n v="1.7452119507223501E-2"/>
        <n v="4.52159800685355E-2"/>
        <n v="2.40678841491292E-2"/>
        <n v="1.2155709860998801E-2"/>
        <n v="8.1802348430959106E-3"/>
        <n v="5.5277046587116499E-3"/>
        <n v="0.20210597368094199"/>
        <n v="7.6899994530737606E-2"/>
        <n v="4.2004847504995496E-3"/>
        <n v="2.1422109589677E-2"/>
        <n v="2.10504212969641E-4"/>
        <n v="1.6128384004504101E-2"/>
        <n v="1.0830911635285601E-2"/>
        <n v="7.8219467436781806E-2"/>
        <n v="0.123057904010192"/>
        <n v="1.48044184269999E-2"/>
        <n v="2.6713043222424002E-2"/>
        <n v="3.8610062618136098E-2"/>
        <n v="7.1621619881080401E-2"/>
        <n v="0.11119286045321"/>
        <n v="1.5428819152680201E-3"/>
        <n v="8.0858274136185099E-2"/>
        <n v="8.6135352223434603E-2"/>
        <n v="3.5967049161376101E-2"/>
        <n v="9.0092714340318999E-2"/>
        <n v="2.9357648433818901E-2"/>
        <n v="0.105918676360297"/>
        <n v="6.8542432270828797E-3"/>
        <n v="1.3480202007630599E-2"/>
        <n v="2.2745078196105401E-2"/>
        <n v="0.125694248446901"/>
        <n v="7.2941287741033201E-2"/>
        <n v="1.87756425361808E-2"/>
        <n v="5.4460900640040603E-2"/>
        <n v="3.4645390636049003E-2"/>
        <n v="3.2001750222487899E-2"/>
        <n v="2.5390536467911801E-2"/>
        <n v="5207.8370192060402"/>
        <n v="5080.03152112915"/>
        <n v="1236.09380537722"/>
        <n v="1230.0527984222399"/>
        <n v="297.02506648868001"/>
        <n v="294.819837860154"/>
        <n v="75.143001113621594"/>
        <n v="74.344078577375498"/>
        <n v="19.3637858707215"/>
        <n v="19.251487085794501"/>
        <n v="4.9940900572679601"/>
        <n v="4.9473599425369299"/>
        <n v="1.3373690719609901"/>
        <n v="1.2802869411189599"/>
        <n v="32.8666639080664"/>
        <n v="33.018532953532798"/>
        <n v="1.7127086501850699"/>
        <n v="1.7267860748675199"/>
        <n v="92.360349883210006"/>
        <n v="94.263588801691199"/>
        <n v="3.1253491738174501"/>
        <n v="3.2004571099837"/>
        <n v="0.80377549616430399"/>
        <n v="0.81839072848690098"/>
        <n v="83.341730421028601"/>
        <n v="83.950616940968501"/>
        <n v="44.792671007853301"/>
        <n v="46.460222685439099"/>
        <n v="65.350357726460004"/>
        <n v="78.287962111352996"/>
        <n v="19.550878443922201"/>
        <n v="18.814456939873299"/>
        <n v="71.985618235132904"/>
        <n v="75.889057044178301"/>
        <n v="25.980977718235799"/>
        <n v="26.681282687051201"/>
        <n v="152.87946548052599"/>
        <n v="154.27468700899999"/>
        <n v="46.430364825117003"/>
        <n v="44.325924299085401"/>
        <n v="76.658044391669307"/>
        <n v="79.7185649318332"/>
        <n v="418.751259565922"/>
        <n v="408.09456824676897"/>
        <n v="4.6129186300193004"/>
        <n v="4.3579359303616396"/>
        <n v="146.54226560056199"/>
        <n v="135.16261885248201"/>
        <n v="14.6858993569844"/>
        <n v="14.812363317266501"/>
        <n v="58.693071226123301"/>
        <n v="57.447027016540297"/>
        <n v="48.470470358911498"/>
        <n v="48.4645114661581"/>
        <n v="17.682038669906898"/>
        <n v="17.707102790220802"/>
        <n v="23.114387164615302"/>
        <n v="22.836065055612998"/>
        <n v="70.506704919473606"/>
        <n v="72.879244178511897"/>
        <n v="79.567423897871805"/>
        <n v="75.282914627895494"/>
        <n v="260.37854501974698"/>
        <n v="245.66055740113299"/>
        <n v="2.4311613420795299"/>
        <n v="2.4104023133413501"/>
        <n v="66.218939958796895"/>
        <n v="67.772758473831502"/>
        <n v="6.9262348128591604"/>
        <n v="7.67936778430097"/>
        <n v="186.94370614935801"/>
        <n v="191.32557080051299"/>
        <n v="0.53811719528206503"/>
        <n v="0.54557334977804095"/>
        <n v="4.3982447812333199"/>
        <n v="4.1224238563015696"/>
        <n v="95.185679647044196"/>
        <n v="60.226671817839801"/>
        <n v="23.423438107181099"/>
        <n v="23.2998422875147"/>
        <n v="0.71579555221379598"/>
        <n v="0.78182768141782499"/>
        <n v="0.73049469675995504"/>
        <n v="0.723146986547898"/>
        <n v="45.0139915498401"/>
        <n v="48.530057280812798"/>
        <n v="68.616350585786194"/>
        <n v="65.209452490027303"/>
        <n v="135.151295180533"/>
        <n v="156.040316416943"/>
        <n v="0.8110847534733"/>
        <n v="0.94211881906293904"/>
        <n v="1.1441945534181299"/>
        <n v="1.2945691643327799"/>
        <n v="2251.9999194215402"/>
        <n v="2285.2138027485598"/>
        <n v="635.50115639952298"/>
        <n v="637.13826442071002"/>
        <n v="142.814864613656"/>
        <n v="152.46476904004501"/>
        <n v="33.8519171535862"/>
        <n v="33.5130513553055"/>
        <n v="8.4094601222977605"/>
        <n v="8.7591634740145707"/>
        <n v="2.27690015828296"/>
        <n v="2.35799523803639"/>
        <n v="0.62654417501827198"/>
        <n v="0.66961264447407698"/>
        <n v="102.326798483196"/>
        <n v="99.899711615018205"/>
        <n v="6.57530937330184"/>
        <n v="6.2792106130589804"/>
        <n v="41.242993772468999"/>
        <n v="45.5233168855626"/>
        <n v="3.4980315162036102"/>
        <n v="4.0156083374116296"/>
        <n v="0.18780956057459799"/>
        <n v="0.23447770218737801"/>
        <n v="174.97880950806999"/>
        <n v="176.84279689186201"/>
        <n v="213.69104859170599"/>
        <n v="214.32336325878001"/>
        <n v="11.6929493826695"/>
        <n v="15.7996891462649"/>
        <n v="10.6513262689991"/>
        <n v="10.7825809013486"/>
        <n v="299.72954333738301"/>
        <n v="297.71141155090697"/>
        <n v="91.135381503126993"/>
        <n v="84.969816971184201"/>
        <n v="662.99313615973199"/>
        <n v="688.33898107928906"/>
        <n v="283.49513639406001"/>
        <n v="252.67076778481601"/>
        <n v="166.03303859103701"/>
        <n v="188.81164372416501"/>
        <n v="624.09432935264203"/>
        <n v="613.94881911800303"/>
        <n v="15.9341389159308"/>
        <n v="16.503617635097001"/>
        <n v="171.89987484115599"/>
        <n v="142.494652396828"/>
        <n v="92.955407100822597"/>
        <n v="89.413370929665803"/>
        <n v="248.47114195414301"/>
        <n v="248.52100858458601"/>
        <n v="47.299540316334102"/>
        <n v="46.254317386915098"/>
        <n v="33.051623907676998"/>
        <n v="32.058641816587802"/>
        <n v="28.3168959789685"/>
        <n v="28.6237931145637"/>
        <n v="136.349343568492"/>
        <n v="139.11290541780701"/>
        <n v="77.203927250981707"/>
        <n v="68.184556105930199"/>
        <n v="177.804581387626"/>
        <n v="151.07828482836999"/>
        <n v="11.295786386953599"/>
        <n v="11.056013941711001"/>
        <n v="99.850019160280695"/>
        <n v="104.82126249765101"/>
        <n v="15.756884301077299"/>
        <n v="18.131273424629299"/>
        <n v="51.229413916051001"/>
        <n v="54.333598937889903"/>
        <n v="0.80385660002036696"/>
        <n v="0.82906197041229501"/>
        <n v="11.9779163676936"/>
        <n v="10.5071297759941"/>
        <n v="40.317075772304499"/>
        <n v="20.6575053809112"/>
        <n v="39.202198286765899"/>
        <n v="39.9121366888319"/>
        <n v="0.20933794804129599"/>
        <n v="0.17793697664281699"/>
        <n v="0.56919637529293698"/>
        <n v="0.58489603693401704"/>
        <n v="34.806772497894798"/>
        <n v="39.292262955665798"/>
        <n v="23.477828262252199"/>
        <n v="23.175035465057"/>
        <n v="45.3831093197172"/>
        <n v="59.655091709735899"/>
        <n v="0.31761269335613301"/>
        <n v="0.30829588422044402"/>
        <n v="0.94564384679179603"/>
        <n v="1.03615760421676"/>
        <n v="3976.3815924768701"/>
        <n v="3853.49915516392"/>
        <n v="979.43735785655599"/>
        <n v="988.11928642638702"/>
        <n v="239.08994975292799"/>
        <n v="220.810958004056"/>
        <n v="60.930585095307599"/>
        <n v="62.528175753610299"/>
        <n v="14.6622270595941"/>
        <n v="14.531551759577701"/>
        <n v="3.8077633783103901"/>
        <n v="4.0480806047868798"/>
        <n v="0.97958294719887695"/>
        <n v="1.01692773444561"/>
        <n v="4.0570968083609903E-2"/>
        <n v="0.31795663596540302"/>
        <n v="0.19220317551396501"/>
        <n v="2.6983432486636202E-2"/>
        <n v="2.01267282426143E-2"/>
        <n v="0.15639160041296901"/>
        <n v="0.123650671248013"/>
        <n v="6.7421447704404294E-2"/>
        <n v="9.7151658185042795E-3"/>
        <n v="0.10060051725372"/>
        <n v="0.18895521635537599"/>
        <n v="3.7186948582693703E-2"/>
        <n v="1.6676639641625801E-2"/>
        <n v="0.110494233706825"/>
        <n v="5.0681619156545801E-2"/>
        <n v="3.3794951326097999E-2"/>
        <n v="6.0740117373008697E-2"/>
        <n v="0.16291728166609001"/>
        <n v="2.6065141624502402E-3"/>
        <n v="0.17269325041151901"/>
        <n v="0.107198974715705"/>
        <n v="0.143318800939258"/>
        <n v="0.11378695858072201"/>
        <n v="0.282645459561844"/>
        <n v="0.33717391489721399"/>
        <n v="0.38509699064979802"/>
        <n v="0.169436222198275"/>
        <n v="0.25689356391682699"/>
        <n v="0.12693398316280299"/>
        <n v="0.146589782140846"/>
        <n v="0.38828617028536899"/>
        <n v="0.29870931173341098"/>
        <n v="0.35636294880581998"/>
        <n v="0.37233339311652203"/>
        <n v="26831.338077975801"/>
        <n v="28346.8985413339"/>
        <n v="7495.0150109886899"/>
        <n v="7325.4975731675204"/>
        <n v="1721.91428478276"/>
        <n v="1743.1203678397801"/>
        <n v="404.03343916075602"/>
        <n v="411.86385463543297"/>
        <n v="110.441764831903"/>
        <n v="106.720530746512"/>
        <n v="32.812034662712101"/>
        <n v="31.534710738249899"/>
        <n v="7.8490032875042202"/>
        <n v="7.9647324695957202"/>
        <n v="0.62911691962292005"/>
        <n v="1.00965913439791"/>
        <n v="1.3603820021509601"/>
        <n v="6.4284757123381704"/>
        <n v="7.1464725181982596"/>
        <n v="1.6921305172552501"/>
        <n v="4.5466452004644102"/>
        <n v="2.0101322456288502"/>
        <n v="5.1900955542395302"/>
        <n v="2.6160671828532198"/>
        <n v="1.5282294633328399"/>
        <n v="4.0172430834540904"/>
        <n v="0.82424586736791405"/>
        <n v="3.3329094781901398"/>
        <n v="4.6768524988881897"/>
        <n v="0.18176725866537799"/>
        <n v="0.419416350478098"/>
        <n v="3.1924672238412901"/>
        <n v="3.0506604196999199"/>
        <n v="2.9073968728260202"/>
        <n v="2.164982423853"/>
        <n v="2.7625721743797702"/>
        <n v="4.9349336743435304"/>
        <n v="1.18786401742577"/>
        <n v="6.9089704274705799"/>
        <n v="6.1852865555569299"/>
        <n v="5.69245374910055"/>
        <n v="6.5493152978077998"/>
        <n v="10.7549685592206"/>
        <n v="7.7328998187140101"/>
        <n v="639.09200233626404"/>
        <n v="608.32024573578599"/>
        <n v="153.04106032604199"/>
        <n v="155.34552543410601"/>
        <n v="38.501909337851401"/>
        <n v="38.911873289609296"/>
        <n v="9.9070566812905891"/>
        <n v="9.89397415544477"/>
        <n v="2.3990941097101"/>
        <n v="2.39316014710153"/>
        <n v="0.60579397312082395"/>
        <n v="0.64597617582592104"/>
        <n v="0.15424363952068501"/>
        <n v="0.13248363959724499"/>
        <n v="8.6370731473310192E-3"/>
        <n v="6.2844052108283602E-2"/>
        <n v="0.10441561232324199"/>
        <n v="5.5744762485013297E-2"/>
        <n v="6.0479208534905897E-2"/>
        <n v="0.43009337745632098"/>
        <n v="0.417883848296419"/>
        <n v="7.0044181829550297E-3"/>
        <n v="1.9954408288785499E-2"/>
        <n v="3.7526561859730002E-2"/>
        <n v="0.31614120954468999"/>
        <n v="0.31077243713277097"/>
        <n v="0.43085627880995903"/>
        <n v="0.43848405651077998"/>
        <n v="0.19297632830073899"/>
        <n v="0.17130408022117399"/>
        <n v="6.1267660427389098E-2"/>
        <n v="4.8630114252873002E-2"/>
        <n v="0.12703456454678499"/>
        <n v="0.12859183827839299"/>
        <n v="6.3631996349330103E-2"/>
        <n v="6.4419775730126402E-2"/>
        <n v="0.47354385967736901"/>
        <n v="0.47430553568752198"/>
        <n v="0.21460757963736701"/>
        <n v="0.17362822015138801"/>
        <n v="6.6782145329078599E-2"/>
        <n v="7.3860980799520498E-2"/>
        <n v="0.89833675818951897"/>
        <n v="0.80178374787127504"/>
        <n v="7.7003384629438995E-2"/>
        <n v="6.9143103330748606E-2"/>
        <n v="0.383511907471207"/>
        <n v="0.35597733939770099"/>
        <n v="3.3548231077652597E-2"/>
        <n v="3.59361304097182E-2"/>
        <n v="0.16975435881911999"/>
        <n v="0.14414770211297301"/>
        <n v="0.20070623782913699"/>
        <n v="0.19684192198644401"/>
        <n v="0.60124230218985197"/>
        <n v="0.59441371879424998"/>
        <n v="0.32840698814481301"/>
        <n v="0.349853789803934"/>
        <n v="0.36974891904352702"/>
        <n v="0.388861930576262"/>
        <n v="0.93826450101232595"/>
        <n v="0.908886502138046"/>
        <n v="5.1614392010965098"/>
        <n v="4.6059899872755503"/>
        <n v="1.9150665317733399E-2"/>
        <n v="0.40108595503724698"/>
        <n v="0.41941036234901702"/>
        <n v="9.4513748442323804E-3"/>
        <n v="5.0212584173430802E-2"/>
        <n v="0.189882915457563"/>
        <n v="0.16587900716797499"/>
        <n v="3.6731491725441899E-2"/>
        <n v="5.6534294001350897E-2"/>
        <n v="7.15026996438793E-2"/>
        <n v="4.0704054268221698E-2"/>
        <n v="0.37968969793045898"/>
        <n v="0.253145843339173"/>
        <n v="0.101289622176525"/>
        <n v="8.3281783660490605E-2"/>
        <n v="2.7964861166945701E-2"/>
        <n v="2.5566397612792301E-2"/>
        <n v="3.5140471240945201E-2"/>
        <n v="0.70503744588254702"/>
        <n v="0.77534993935712004"/>
        <n v="0.42704154525592303"/>
        <n v="0.42475243179781602"/>
        <n v="0.176726259438894"/>
        <n v="0.19142972710602699"/>
        <n v="3.91158538444005E-2"/>
        <n v="3.4344507234509297E-2"/>
        <n v="7.93587614607624E-2"/>
        <n v="6.7569285635921197E-2"/>
      </sharedItems>
    </cacheField>
    <cacheField name="Calc. Conc. Mean" numFmtId="0">
      <sharedItems containsMixedTypes="1" containsNumber="1" minValue="2.86910443584065E-3" maxValue="27589.118309654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  <x v="0"/>
    <s v="A02"/>
    <n v="1"/>
    <n v="1030"/>
    <n v="1680924"/>
    <n v="1680924"/>
    <n v="1657795"/>
    <s v="Above Fit Curve Range"/>
    <n v="1657794.5"/>
    <x v="0"/>
    <n v="1019.4383094367"/>
  </r>
  <r>
    <x v="0"/>
    <x v="0"/>
    <s v="A01"/>
    <n v="1"/>
    <n v="1030"/>
    <n v="1634665"/>
    <n v="1634665"/>
    <n v="1657795"/>
    <s v="In Detection Range"/>
    <n v="1657794.5"/>
    <x v="1"/>
    <n v="1019.4383094367"/>
  </r>
  <r>
    <x v="1"/>
    <x v="0"/>
    <s v="B02"/>
    <n v="1"/>
    <n v="257.5"/>
    <n v="519342"/>
    <n v="519342"/>
    <n v="527535"/>
    <s v="In Detection Range"/>
    <n v="527535"/>
    <x v="2"/>
    <n v="264.949441174426"/>
  </r>
  <r>
    <x v="1"/>
    <x v="0"/>
    <s v="B01"/>
    <n v="1"/>
    <n v="257.5"/>
    <n v="535728"/>
    <n v="535728"/>
    <n v="527535"/>
    <s v="In Detection Range"/>
    <n v="527535"/>
    <x v="3"/>
    <n v="264.949441174426"/>
  </r>
  <r>
    <x v="2"/>
    <x v="0"/>
    <s v="C02"/>
    <n v="1"/>
    <n v="64.375"/>
    <n v="134947"/>
    <n v="134947"/>
    <n v="135660"/>
    <s v="In Detection Range"/>
    <n v="135660"/>
    <x v="4"/>
    <n v="64.893972432463499"/>
  </r>
  <r>
    <x v="2"/>
    <x v="0"/>
    <s v="C01"/>
    <n v="1"/>
    <n v="64.375"/>
    <n v="136373"/>
    <n v="136373"/>
    <n v="135660"/>
    <s v="In Detection Range"/>
    <n v="135660"/>
    <x v="5"/>
    <n v="64.893972432463499"/>
  </r>
  <r>
    <x v="3"/>
    <x v="0"/>
    <s v="D01"/>
    <n v="1"/>
    <n v="16.09375"/>
    <n v="33030"/>
    <n v="33030"/>
    <n v="32852"/>
    <s v="In Detection Range"/>
    <n v="32851.5"/>
    <x v="6"/>
    <n v="15.6897781803198"/>
  </r>
  <r>
    <x v="3"/>
    <x v="0"/>
    <s v="D02"/>
    <n v="1"/>
    <n v="16.09375"/>
    <n v="32673"/>
    <n v="32673"/>
    <n v="32852"/>
    <s v="In Detection Range"/>
    <n v="32851.5"/>
    <x v="7"/>
    <n v="15.6897781803198"/>
  </r>
  <r>
    <x v="4"/>
    <x v="0"/>
    <s v="E01"/>
    <n v="1"/>
    <n v="4.0234375"/>
    <n v="8356"/>
    <n v="8356"/>
    <n v="8229"/>
    <s v="In Detection Range"/>
    <n v="8229"/>
    <x v="8"/>
    <n v="3.9329343051259502"/>
  </r>
  <r>
    <x v="4"/>
    <x v="0"/>
    <s v="E02"/>
    <n v="1"/>
    <n v="4.0234375"/>
    <n v="8102"/>
    <n v="8102"/>
    <n v="8229"/>
    <s v="In Detection Range"/>
    <n v="8229"/>
    <x v="9"/>
    <n v="3.9329343051259502"/>
  </r>
  <r>
    <x v="5"/>
    <x v="0"/>
    <s v="F01"/>
    <n v="1"/>
    <n v="1.005859375"/>
    <n v="2275"/>
    <n v="2275"/>
    <n v="2206"/>
    <s v="In Detection Range"/>
    <n v="2205.5"/>
    <x v="10"/>
    <n v="1.01949763772387"/>
  </r>
  <r>
    <x v="5"/>
    <x v="0"/>
    <s v="F02"/>
    <n v="1"/>
    <n v="1.005859375"/>
    <n v="2136"/>
    <n v="2136"/>
    <n v="2206"/>
    <s v="In Detection Range"/>
    <n v="2205.5"/>
    <x v="11"/>
    <n v="1.01949763772387"/>
  </r>
  <r>
    <x v="6"/>
    <x v="0"/>
    <s v="G01"/>
    <n v="1"/>
    <n v="0.25146484375"/>
    <n v="664"/>
    <n v="664"/>
    <n v="654"/>
    <s v="In Detection Range"/>
    <n v="654"/>
    <x v="12"/>
    <n v="0.25668057882295497"/>
  </r>
  <r>
    <x v="6"/>
    <x v="0"/>
    <s v="G02"/>
    <n v="1"/>
    <n v="0.25146484375"/>
    <n v="644"/>
    <n v="644"/>
    <n v="654"/>
    <s v="In Detection Range"/>
    <n v="654"/>
    <x v="13"/>
    <n v="0.25668057882295497"/>
  </r>
  <r>
    <x v="7"/>
    <x v="0"/>
    <s v="H01"/>
    <n v="1"/>
    <n v="0"/>
    <n v="141"/>
    <n v="141"/>
    <n v="144"/>
    <s v="Below Fit Curve Range"/>
    <n v="143.5"/>
    <x v="14"/>
    <s v="NaN"/>
  </r>
  <r>
    <x v="7"/>
    <x v="0"/>
    <s v="H02"/>
    <n v="1"/>
    <n v="0"/>
    <n v="146"/>
    <n v="146"/>
    <n v="144"/>
    <s v="Below Detection Range"/>
    <n v="143.5"/>
    <x v="15"/>
    <s v="NaN"/>
  </r>
  <r>
    <x v="8"/>
    <x v="0"/>
    <s v="A04"/>
    <n v="1"/>
    <m/>
    <n v="177"/>
    <n v="177"/>
    <n v="179"/>
    <s v="Below Detection Range"/>
    <n v="178.5"/>
    <x v="16"/>
    <n v="1.7945601105720198E-2"/>
  </r>
  <r>
    <x v="8"/>
    <x v="0"/>
    <s v="A03"/>
    <n v="1"/>
    <m/>
    <n v="180"/>
    <n v="180"/>
    <n v="179"/>
    <s v="Below Detection Range"/>
    <n v="178.5"/>
    <x v="17"/>
    <n v="1.7945601105720198E-2"/>
  </r>
  <r>
    <x v="9"/>
    <x v="0"/>
    <s v="A05"/>
    <n v="1"/>
    <m/>
    <n v="153"/>
    <n v="153"/>
    <n v="157"/>
    <s v="Below Detection Range"/>
    <n v="157"/>
    <x v="18"/>
    <n v="6.8259544447678601E-3"/>
  </r>
  <r>
    <x v="9"/>
    <x v="0"/>
    <s v="A06"/>
    <n v="1"/>
    <m/>
    <n v="161"/>
    <n v="161"/>
    <n v="157"/>
    <s v="Below Detection Range"/>
    <n v="157"/>
    <x v="19"/>
    <n v="6.8259544447678601E-3"/>
  </r>
  <r>
    <x v="10"/>
    <x v="0"/>
    <s v="A07"/>
    <n v="1"/>
    <m/>
    <n v="162"/>
    <n v="162"/>
    <n v="171"/>
    <s v="Below Detection Range"/>
    <n v="171"/>
    <x v="20"/>
    <n v="1.40726613720126E-2"/>
  </r>
  <r>
    <x v="10"/>
    <x v="0"/>
    <s v="A08"/>
    <n v="1"/>
    <m/>
    <n v="180"/>
    <n v="180"/>
    <n v="171"/>
    <s v="Below Detection Range"/>
    <n v="171"/>
    <x v="17"/>
    <n v="1.40726613720126E-2"/>
  </r>
  <r>
    <x v="11"/>
    <x v="0"/>
    <s v="A10"/>
    <n v="1"/>
    <m/>
    <n v="159"/>
    <n v="159"/>
    <n v="165"/>
    <s v="Below Detection Range"/>
    <n v="165"/>
    <x v="21"/>
    <n v="1.0976733974319201E-2"/>
  </r>
  <r>
    <x v="11"/>
    <x v="0"/>
    <s v="A09"/>
    <n v="1"/>
    <m/>
    <n v="171"/>
    <n v="171"/>
    <n v="165"/>
    <s v="Below Detection Range"/>
    <n v="165"/>
    <x v="22"/>
    <n v="1.0976733974319201E-2"/>
  </r>
  <r>
    <x v="12"/>
    <x v="0"/>
    <s v="A12"/>
    <n v="1"/>
    <m/>
    <n v="226"/>
    <n v="226"/>
    <n v="210"/>
    <s v="In Detection Range"/>
    <n v="210"/>
    <x v="23"/>
    <n v="3.4059246644362197E-2"/>
  </r>
  <r>
    <x v="12"/>
    <x v="0"/>
    <s v="A11"/>
    <n v="1"/>
    <m/>
    <n v="194"/>
    <n v="194"/>
    <n v="210"/>
    <s v="In Detection Range"/>
    <n v="210"/>
    <x v="24"/>
    <n v="3.4059246644362197E-2"/>
  </r>
  <r>
    <x v="13"/>
    <x v="0"/>
    <s v="B03"/>
    <n v="1"/>
    <m/>
    <n v="149"/>
    <n v="149"/>
    <n v="157"/>
    <s v="Below Detection Range"/>
    <n v="157"/>
    <x v="25"/>
    <n v="6.81240714493623E-3"/>
  </r>
  <r>
    <x v="13"/>
    <x v="0"/>
    <s v="B04"/>
    <n v="1"/>
    <m/>
    <n v="165"/>
    <n v="165"/>
    <n v="157"/>
    <s v="Below Detection Range"/>
    <n v="157"/>
    <x v="26"/>
    <n v="6.81240714493623E-3"/>
  </r>
  <r>
    <x v="14"/>
    <x v="0"/>
    <s v="B05"/>
    <n v="1"/>
    <m/>
    <n v="172"/>
    <n v="172"/>
    <n v="169"/>
    <s v="Below Detection Range"/>
    <n v="168.5"/>
    <x v="27"/>
    <n v="1.27905307413531E-2"/>
  </r>
  <r>
    <x v="14"/>
    <x v="0"/>
    <s v="B06"/>
    <n v="1"/>
    <m/>
    <n v="165"/>
    <n v="165"/>
    <n v="169"/>
    <s v="Below Detection Range"/>
    <n v="168.5"/>
    <x v="26"/>
    <n v="1.27905307413531E-2"/>
  </r>
  <r>
    <x v="15"/>
    <x v="0"/>
    <s v="B07"/>
    <n v="1"/>
    <m/>
    <n v="175"/>
    <n v="175"/>
    <n v="162"/>
    <s v="Below Detection Range"/>
    <n v="162"/>
    <x v="28"/>
    <n v="9.3934370345760809E-3"/>
  </r>
  <r>
    <x v="15"/>
    <x v="0"/>
    <s v="B08"/>
    <n v="1"/>
    <m/>
    <n v="149"/>
    <n v="149"/>
    <n v="162"/>
    <s v="Below Detection Range"/>
    <n v="162"/>
    <x v="25"/>
    <n v="9.3934370345760809E-3"/>
  </r>
  <r>
    <x v="16"/>
    <x v="0"/>
    <s v="B09"/>
    <n v="1"/>
    <m/>
    <n v="159"/>
    <n v="159"/>
    <n v="162"/>
    <s v="Below Detection Range"/>
    <n v="162"/>
    <x v="21"/>
    <n v="9.4266006395792492E-3"/>
  </r>
  <r>
    <x v="16"/>
    <x v="0"/>
    <s v="B10"/>
    <n v="1"/>
    <m/>
    <n v="165"/>
    <n v="165"/>
    <n v="162"/>
    <s v="Below Detection Range"/>
    <n v="162"/>
    <x v="26"/>
    <n v="9.4266006395792492E-3"/>
  </r>
  <r>
    <x v="17"/>
    <x v="0"/>
    <s v="B12"/>
    <n v="1"/>
    <m/>
    <n v="149"/>
    <n v="149"/>
    <n v="155"/>
    <s v="Below Detection Range"/>
    <n v="155"/>
    <x v="25"/>
    <n v="5.7758972786360998E-3"/>
  </r>
  <r>
    <x v="17"/>
    <x v="0"/>
    <s v="B11"/>
    <n v="1"/>
    <m/>
    <n v="161"/>
    <n v="161"/>
    <n v="155"/>
    <s v="Below Detection Range"/>
    <n v="155"/>
    <x v="19"/>
    <n v="5.7758972786360998E-3"/>
  </r>
  <r>
    <x v="18"/>
    <x v="0"/>
    <s v="C04"/>
    <n v="1"/>
    <m/>
    <n v="171"/>
    <n v="171"/>
    <n v="166"/>
    <s v="Below Detection Range"/>
    <n v="165.5"/>
    <x v="22"/>
    <n v="1.1236533092293499E-2"/>
  </r>
  <r>
    <x v="18"/>
    <x v="0"/>
    <s v="C03"/>
    <n v="1"/>
    <m/>
    <n v="160"/>
    <n v="160"/>
    <n v="166"/>
    <s v="Below Detection Range"/>
    <n v="165.5"/>
    <x v="29"/>
    <n v="1.1236533092293499E-2"/>
  </r>
  <r>
    <x v="19"/>
    <x v="0"/>
    <s v="C06"/>
    <n v="1"/>
    <m/>
    <n v="198"/>
    <n v="198"/>
    <n v="189"/>
    <s v="In Detection Range"/>
    <n v="188.5"/>
    <x v="30"/>
    <n v="2.3073381353631701E-2"/>
  </r>
  <r>
    <x v="19"/>
    <x v="0"/>
    <s v="C05"/>
    <n v="1"/>
    <m/>
    <n v="179"/>
    <n v="179"/>
    <n v="189"/>
    <s v="Below Detection Range"/>
    <n v="188.5"/>
    <x v="31"/>
    <n v="2.3073381353631701E-2"/>
  </r>
  <r>
    <x v="20"/>
    <x v="0"/>
    <s v="C07"/>
    <n v="1"/>
    <m/>
    <n v="156"/>
    <n v="156"/>
    <n v="162"/>
    <s v="Below Detection Range"/>
    <n v="161.5"/>
    <x v="32"/>
    <n v="9.1630734125475906E-3"/>
  </r>
  <r>
    <x v="20"/>
    <x v="0"/>
    <s v="C08"/>
    <n v="1"/>
    <m/>
    <n v="167"/>
    <n v="167"/>
    <n v="162"/>
    <s v="Below Detection Range"/>
    <n v="161.5"/>
    <x v="33"/>
    <n v="9.1630734125475906E-3"/>
  </r>
  <r>
    <x v="21"/>
    <x v="0"/>
    <s v="C10"/>
    <n v="1"/>
    <m/>
    <n v="168"/>
    <n v="168"/>
    <n v="174"/>
    <s v="Below Detection Range"/>
    <n v="173.5"/>
    <x v="34"/>
    <n v="1.53684096485873E-2"/>
  </r>
  <r>
    <x v="21"/>
    <x v="0"/>
    <s v="C09"/>
    <n v="1"/>
    <m/>
    <n v="179"/>
    <n v="179"/>
    <n v="174"/>
    <s v="Below Detection Range"/>
    <n v="173.5"/>
    <x v="31"/>
    <n v="1.53684096485873E-2"/>
  </r>
  <r>
    <x v="22"/>
    <x v="0"/>
    <s v="C12"/>
    <n v="1"/>
    <m/>
    <n v="202"/>
    <n v="202"/>
    <n v="194"/>
    <s v="In Detection Range"/>
    <n v="193.5"/>
    <x v="35"/>
    <n v="2.5636638769835001E-2"/>
  </r>
  <r>
    <x v="22"/>
    <x v="0"/>
    <s v="C11"/>
    <n v="1"/>
    <m/>
    <n v="185"/>
    <n v="185"/>
    <n v="194"/>
    <s v="In Detection Range"/>
    <n v="193.5"/>
    <x v="36"/>
    <n v="2.5636638769835001E-2"/>
  </r>
  <r>
    <x v="23"/>
    <x v="0"/>
    <s v="D03"/>
    <n v="1"/>
    <m/>
    <n v="176"/>
    <n v="176"/>
    <n v="163"/>
    <s v="Below Detection Range"/>
    <n v="162.5"/>
    <x v="37"/>
    <n v="9.6508859996279894E-3"/>
  </r>
  <r>
    <x v="23"/>
    <x v="0"/>
    <s v="D04"/>
    <n v="1"/>
    <m/>
    <n v="149"/>
    <n v="149"/>
    <n v="163"/>
    <s v="Below Detection Range"/>
    <n v="162.5"/>
    <x v="25"/>
    <n v="9.6508859996279894E-3"/>
  </r>
  <r>
    <x v="24"/>
    <x v="0"/>
    <s v="D05"/>
    <n v="1"/>
    <m/>
    <n v="153"/>
    <n v="153"/>
    <n v="147"/>
    <s v="Below Detection Range"/>
    <n v="146.5"/>
    <x v="18"/>
    <s v="NaN"/>
  </r>
  <r>
    <x v="24"/>
    <x v="0"/>
    <s v="D06"/>
    <n v="1"/>
    <m/>
    <n v="140"/>
    <n v="140"/>
    <n v="147"/>
    <s v="Below Fit Curve Range"/>
    <n v="146.5"/>
    <x v="14"/>
    <s v="NaN"/>
  </r>
  <r>
    <x v="25"/>
    <x v="0"/>
    <s v="D07"/>
    <n v="1"/>
    <m/>
    <n v="145"/>
    <n v="145"/>
    <n v="141"/>
    <s v="Below Detection Range"/>
    <n v="140.5"/>
    <x v="38"/>
    <s v="NaN"/>
  </r>
  <r>
    <x v="25"/>
    <x v="0"/>
    <s v="D08"/>
    <n v="1"/>
    <m/>
    <n v="136"/>
    <n v="136"/>
    <n v="141"/>
    <s v="Below Fit Curve Range"/>
    <n v="140.5"/>
    <x v="14"/>
    <s v="NaN"/>
  </r>
  <r>
    <x v="26"/>
    <x v="0"/>
    <s v="D09"/>
    <n v="1"/>
    <m/>
    <n v="161"/>
    <n v="161"/>
    <n v="156"/>
    <s v="Below Detection Range"/>
    <n v="155.5"/>
    <x v="19"/>
    <n v="6.0391856746423202E-3"/>
  </r>
  <r>
    <x v="26"/>
    <x v="0"/>
    <s v="D10"/>
    <n v="1"/>
    <m/>
    <n v="150"/>
    <n v="150"/>
    <n v="156"/>
    <s v="Below Detection Range"/>
    <n v="155.5"/>
    <x v="39"/>
    <n v="6.0391856746423202E-3"/>
  </r>
  <r>
    <x v="27"/>
    <x v="0"/>
    <s v="D12"/>
    <n v="1"/>
    <m/>
    <n v="130"/>
    <n v="130"/>
    <n v="139"/>
    <s v="Below Fit Curve Range"/>
    <n v="138.5"/>
    <x v="14"/>
    <s v="NaN"/>
  </r>
  <r>
    <x v="27"/>
    <x v="0"/>
    <s v="D11"/>
    <n v="1"/>
    <m/>
    <n v="147"/>
    <n v="147"/>
    <n v="139"/>
    <s v="Below Detection Range"/>
    <n v="138.5"/>
    <x v="40"/>
    <s v="NaN"/>
  </r>
  <r>
    <x v="28"/>
    <x v="0"/>
    <s v="E04"/>
    <n v="1"/>
    <m/>
    <n v="170"/>
    <n v="170"/>
    <n v="187"/>
    <s v="Below Detection Range"/>
    <n v="186.5"/>
    <x v="41"/>
    <n v="2.20329408506224E-2"/>
  </r>
  <r>
    <x v="28"/>
    <x v="0"/>
    <s v="E03"/>
    <n v="1"/>
    <m/>
    <n v="203"/>
    <n v="203"/>
    <n v="187"/>
    <s v="In Detection Range"/>
    <n v="186.5"/>
    <x v="42"/>
    <n v="2.20329408506224E-2"/>
  </r>
  <r>
    <x v="29"/>
    <x v="0"/>
    <s v="E06"/>
    <n v="1"/>
    <m/>
    <n v="181"/>
    <n v="181"/>
    <n v="184"/>
    <s v="Below Detection Range"/>
    <n v="183.5"/>
    <x v="43"/>
    <n v="2.0514513056676498E-2"/>
  </r>
  <r>
    <x v="29"/>
    <x v="0"/>
    <s v="E05"/>
    <n v="1"/>
    <m/>
    <n v="186"/>
    <n v="186"/>
    <n v="184"/>
    <s v="In Detection Range"/>
    <n v="183.5"/>
    <x v="44"/>
    <n v="2.0514513056676498E-2"/>
  </r>
  <r>
    <x v="30"/>
    <x v="0"/>
    <s v="E07"/>
    <n v="1"/>
    <m/>
    <n v="209"/>
    <n v="209"/>
    <n v="185"/>
    <s v="In Detection Range"/>
    <n v="184.5"/>
    <x v="45"/>
    <n v="2.0976107342526099E-2"/>
  </r>
  <r>
    <x v="30"/>
    <x v="0"/>
    <s v="E08"/>
    <n v="1"/>
    <m/>
    <n v="160"/>
    <n v="160"/>
    <n v="185"/>
    <s v="Below Detection Range"/>
    <n v="184.5"/>
    <x v="29"/>
    <n v="2.0976107342526099E-2"/>
  </r>
  <r>
    <x v="31"/>
    <x v="0"/>
    <s v="E10"/>
    <n v="1"/>
    <m/>
    <n v="172"/>
    <n v="172"/>
    <n v="179"/>
    <s v="Below Detection Range"/>
    <n v="179"/>
    <x v="27"/>
    <n v="1.8198303532747599E-2"/>
  </r>
  <r>
    <x v="31"/>
    <x v="0"/>
    <s v="E09"/>
    <n v="1"/>
    <m/>
    <n v="186"/>
    <n v="186"/>
    <n v="179"/>
    <s v="In Detection Range"/>
    <n v="179"/>
    <x v="44"/>
    <n v="1.8198303532747599E-2"/>
  </r>
  <r>
    <x v="32"/>
    <x v="0"/>
    <s v="E12"/>
    <n v="1"/>
    <m/>
    <n v="173"/>
    <n v="173"/>
    <n v="173"/>
    <s v="Below Detection Range"/>
    <n v="173"/>
    <x v="46"/>
    <n v="1.51141191182843E-2"/>
  </r>
  <r>
    <x v="32"/>
    <x v="0"/>
    <s v="E11"/>
    <n v="1"/>
    <m/>
    <n v="173"/>
    <n v="173"/>
    <n v="173"/>
    <s v="Below Detection Range"/>
    <n v="173"/>
    <x v="46"/>
    <n v="1.51141191182843E-2"/>
  </r>
  <r>
    <x v="33"/>
    <x v="0"/>
    <s v="F04"/>
    <n v="1"/>
    <m/>
    <n v="144"/>
    <n v="144"/>
    <n v="157"/>
    <s v="Below Fit Curve Range"/>
    <n v="156.5"/>
    <x v="14"/>
    <s v="NaN"/>
  </r>
  <r>
    <x v="33"/>
    <x v="0"/>
    <s v="F03"/>
    <n v="1"/>
    <m/>
    <n v="169"/>
    <n v="169"/>
    <n v="157"/>
    <s v="Below Detection Range"/>
    <n v="156.5"/>
    <x v="47"/>
    <s v="NaN"/>
  </r>
  <r>
    <x v="34"/>
    <x v="0"/>
    <s v="F05"/>
    <n v="1"/>
    <m/>
    <n v="176"/>
    <n v="176"/>
    <n v="173"/>
    <s v="Below Detection Range"/>
    <n v="173"/>
    <x v="37"/>
    <n v="1.5113093310749399E-2"/>
  </r>
  <r>
    <x v="34"/>
    <x v="0"/>
    <s v="F06"/>
    <n v="1"/>
    <m/>
    <n v="170"/>
    <n v="170"/>
    <n v="173"/>
    <s v="Below Detection Range"/>
    <n v="173"/>
    <x v="41"/>
    <n v="1.5113093310749399E-2"/>
  </r>
  <r>
    <x v="35"/>
    <x v="0"/>
    <s v="F07"/>
    <n v="1"/>
    <m/>
    <n v="169"/>
    <n v="169"/>
    <n v="152"/>
    <s v="Below Detection Range"/>
    <n v="152"/>
    <x v="47"/>
    <s v="NaN"/>
  </r>
  <r>
    <x v="35"/>
    <x v="0"/>
    <s v="F08"/>
    <n v="1"/>
    <m/>
    <n v="135"/>
    <n v="135"/>
    <n v="152"/>
    <s v="Below Fit Curve Range"/>
    <n v="152"/>
    <x v="14"/>
    <s v="NaN"/>
  </r>
  <r>
    <x v="36"/>
    <x v="0"/>
    <s v="F09"/>
    <n v="1"/>
    <m/>
    <n v="154"/>
    <n v="154"/>
    <n v="155"/>
    <s v="Below Detection Range"/>
    <n v="155"/>
    <x v="48"/>
    <n v="5.7872035039581802E-3"/>
  </r>
  <r>
    <x v="36"/>
    <x v="0"/>
    <s v="F10"/>
    <n v="1"/>
    <m/>
    <n v="156"/>
    <n v="156"/>
    <n v="155"/>
    <s v="Below Detection Range"/>
    <n v="155"/>
    <x v="32"/>
    <n v="5.7872035039581802E-3"/>
  </r>
  <r>
    <x v="37"/>
    <x v="0"/>
    <s v="F12"/>
    <n v="1"/>
    <m/>
    <n v="191"/>
    <n v="191"/>
    <n v="190"/>
    <s v="In Detection Range"/>
    <n v="190"/>
    <x v="49"/>
    <n v="2.3848786850319999E-2"/>
  </r>
  <r>
    <x v="37"/>
    <x v="0"/>
    <s v="F11"/>
    <n v="1"/>
    <m/>
    <n v="189"/>
    <n v="189"/>
    <n v="190"/>
    <s v="In Detection Range"/>
    <n v="190"/>
    <x v="50"/>
    <n v="2.3848786850319999E-2"/>
  </r>
  <r>
    <x v="38"/>
    <x v="0"/>
    <s v="G03"/>
    <n v="1"/>
    <m/>
    <n v="160"/>
    <n v="160"/>
    <n v="160"/>
    <s v="Below Detection Range"/>
    <n v="160"/>
    <x v="29"/>
    <n v="8.3902990707945494E-3"/>
  </r>
  <r>
    <x v="38"/>
    <x v="0"/>
    <s v="G04"/>
    <n v="1"/>
    <m/>
    <n v="160"/>
    <n v="160"/>
    <n v="160"/>
    <s v="Below Detection Range"/>
    <n v="160"/>
    <x v="29"/>
    <n v="8.3902990707945494E-3"/>
  </r>
  <r>
    <x v="39"/>
    <x v="0"/>
    <s v="G06"/>
    <n v="1"/>
    <m/>
    <n v="177"/>
    <n v="177"/>
    <n v="178"/>
    <s v="Below Detection Range"/>
    <n v="178"/>
    <x v="16"/>
    <n v="1.7688545733494699E-2"/>
  </r>
  <r>
    <x v="39"/>
    <x v="0"/>
    <s v="G05"/>
    <n v="1"/>
    <m/>
    <n v="179"/>
    <n v="179"/>
    <n v="178"/>
    <s v="Below Detection Range"/>
    <n v="178"/>
    <x v="31"/>
    <n v="1.7688545733494699E-2"/>
  </r>
  <r>
    <x v="40"/>
    <x v="0"/>
    <s v="G08"/>
    <n v="1"/>
    <m/>
    <n v="172"/>
    <n v="172"/>
    <n v="174"/>
    <s v="Below Detection Range"/>
    <n v="173.5"/>
    <x v="27"/>
    <n v="1.5371560630993E-2"/>
  </r>
  <r>
    <x v="40"/>
    <x v="0"/>
    <s v="G07"/>
    <n v="1"/>
    <m/>
    <n v="175"/>
    <n v="175"/>
    <n v="174"/>
    <s v="Below Detection Range"/>
    <n v="173.5"/>
    <x v="28"/>
    <n v="1.5371560630993E-2"/>
  </r>
  <r>
    <x v="41"/>
    <x v="0"/>
    <s v="G10"/>
    <n v="1"/>
    <m/>
    <n v="184"/>
    <n v="184"/>
    <n v="194"/>
    <s v="In Detection Range"/>
    <n v="193.5"/>
    <x v="51"/>
    <n v="2.5635434958454599E-2"/>
  </r>
  <r>
    <x v="41"/>
    <x v="0"/>
    <s v="G09"/>
    <n v="1"/>
    <m/>
    <n v="203"/>
    <n v="203"/>
    <n v="194"/>
    <s v="In Detection Range"/>
    <n v="193.5"/>
    <x v="42"/>
    <n v="2.5635434958454599E-2"/>
  </r>
  <r>
    <x v="42"/>
    <x v="0"/>
    <s v="G12"/>
    <n v="1"/>
    <m/>
    <n v="203"/>
    <n v="203"/>
    <n v="213"/>
    <s v="In Detection Range"/>
    <n v="213"/>
    <x v="42"/>
    <n v="3.5596991939442199E-2"/>
  </r>
  <r>
    <x v="42"/>
    <x v="0"/>
    <s v="G11"/>
    <n v="1"/>
    <m/>
    <n v="223"/>
    <n v="223"/>
    <n v="213"/>
    <s v="In Detection Range"/>
    <n v="213"/>
    <x v="52"/>
    <n v="3.5596991939442199E-2"/>
  </r>
  <r>
    <x v="43"/>
    <x v="0"/>
    <s v="H04"/>
    <n v="1"/>
    <m/>
    <n v="145"/>
    <n v="145"/>
    <n v="156"/>
    <s v="Below Detection Range"/>
    <n v="156"/>
    <x v="38"/>
    <n v="6.26699472552825E-3"/>
  </r>
  <r>
    <x v="43"/>
    <x v="0"/>
    <s v="H03"/>
    <n v="1"/>
    <m/>
    <n v="167"/>
    <n v="167"/>
    <n v="156"/>
    <s v="Below Detection Range"/>
    <n v="156"/>
    <x v="33"/>
    <n v="6.26699472552825E-3"/>
  </r>
  <r>
    <x v="44"/>
    <x v="0"/>
    <s v="H06"/>
    <n v="1"/>
    <m/>
    <n v="157"/>
    <n v="157"/>
    <n v="165"/>
    <s v="Below Detection Range"/>
    <n v="164.5"/>
    <x v="53"/>
    <n v="1.0714349181636501E-2"/>
  </r>
  <r>
    <x v="44"/>
    <x v="0"/>
    <s v="H05"/>
    <n v="1"/>
    <m/>
    <n v="172"/>
    <n v="172"/>
    <n v="165"/>
    <s v="Below Detection Range"/>
    <n v="164.5"/>
    <x v="27"/>
    <n v="1.0714349181636501E-2"/>
  </r>
  <r>
    <x v="45"/>
    <x v="0"/>
    <s v="H08"/>
    <n v="1"/>
    <m/>
    <n v="157"/>
    <n v="157"/>
    <n v="166"/>
    <s v="Below Detection Range"/>
    <n v="165.5"/>
    <x v="53"/>
    <n v="1.12297934688052E-2"/>
  </r>
  <r>
    <x v="45"/>
    <x v="0"/>
    <s v="H07"/>
    <n v="1"/>
    <m/>
    <n v="174"/>
    <n v="174"/>
    <n v="166"/>
    <s v="Below Detection Range"/>
    <n v="165.5"/>
    <x v="54"/>
    <n v="1.12297934688052E-2"/>
  </r>
  <r>
    <x v="46"/>
    <x v="0"/>
    <s v="H09"/>
    <n v="1"/>
    <m/>
    <n v="177"/>
    <n v="177"/>
    <n v="182"/>
    <s v="Below Detection Range"/>
    <n v="181.5"/>
    <x v="16"/>
    <n v="1.9486098089182401E-2"/>
  </r>
  <r>
    <x v="46"/>
    <x v="0"/>
    <s v="H10"/>
    <n v="1"/>
    <m/>
    <n v="186"/>
    <n v="186"/>
    <n v="182"/>
    <s v="In Detection Range"/>
    <n v="181.5"/>
    <x v="44"/>
    <n v="1.9486098089182401E-2"/>
  </r>
  <r>
    <x v="47"/>
    <x v="0"/>
    <s v="H12"/>
    <n v="1"/>
    <m/>
    <n v="196"/>
    <n v="196"/>
    <n v="194"/>
    <s v="In Detection Range"/>
    <n v="193.5"/>
    <x v="55"/>
    <n v="2.5641026517754299E-2"/>
  </r>
  <r>
    <x v="47"/>
    <x v="0"/>
    <s v="H11"/>
    <n v="1"/>
    <m/>
    <n v="191"/>
    <n v="191"/>
    <n v="194"/>
    <s v="In Detection Range"/>
    <n v="193.5"/>
    <x v="49"/>
    <n v="2.5641026517754299E-2"/>
  </r>
  <r>
    <x v="0"/>
    <x v="1"/>
    <s v="A02"/>
    <n v="2"/>
    <n v="1740"/>
    <n v="1004328"/>
    <n v="1004328"/>
    <n v="1045939"/>
    <s v="In Detection Range"/>
    <n v="1045939"/>
    <x v="56"/>
    <n v="1736.6114536298901"/>
  </r>
  <r>
    <x v="0"/>
    <x v="1"/>
    <s v="A01"/>
    <n v="2"/>
    <n v="1740"/>
    <n v="1087550"/>
    <n v="1087550"/>
    <n v="1045939"/>
    <s v="Above Fit Curve Range"/>
    <n v="1045939"/>
    <x v="57"/>
    <n v="1736.6114536298901"/>
  </r>
  <r>
    <x v="1"/>
    <x v="1"/>
    <s v="B02"/>
    <n v="2"/>
    <n v="435"/>
    <n v="310960"/>
    <n v="310960"/>
    <n v="313361"/>
    <s v="In Detection Range"/>
    <n v="313360.5"/>
    <x v="58"/>
    <n v="435.27803368152797"/>
  </r>
  <r>
    <x v="1"/>
    <x v="1"/>
    <s v="B01"/>
    <n v="2"/>
    <n v="435"/>
    <n v="315761"/>
    <n v="315761"/>
    <n v="313361"/>
    <s v="In Detection Range"/>
    <n v="313360.5"/>
    <x v="59"/>
    <n v="435.27803368152797"/>
  </r>
  <r>
    <x v="2"/>
    <x v="1"/>
    <s v="C02"/>
    <n v="2"/>
    <n v="108.75"/>
    <n v="82847"/>
    <n v="82847"/>
    <n v="84977"/>
    <s v="In Detection Range"/>
    <n v="84976.5"/>
    <x v="60"/>
    <n v="112.412779148943"/>
  </r>
  <r>
    <x v="2"/>
    <x v="1"/>
    <s v="C01"/>
    <n v="2"/>
    <n v="108.75"/>
    <n v="87106"/>
    <n v="87106"/>
    <n v="84977"/>
    <s v="In Detection Range"/>
    <n v="84976.5"/>
    <x v="61"/>
    <n v="112.412779148943"/>
  </r>
  <r>
    <x v="3"/>
    <x v="1"/>
    <s v="D02"/>
    <n v="2"/>
    <n v="27.1875"/>
    <n v="20158"/>
    <n v="20158"/>
    <n v="20296"/>
    <s v="In Detection Range"/>
    <n v="20296"/>
    <x v="62"/>
    <n v="26.384642520995499"/>
  </r>
  <r>
    <x v="3"/>
    <x v="1"/>
    <s v="D01"/>
    <n v="2"/>
    <n v="27.1875"/>
    <n v="20434"/>
    <n v="20434"/>
    <n v="20296"/>
    <s v="In Detection Range"/>
    <n v="20296"/>
    <x v="63"/>
    <n v="26.384642520995499"/>
  </r>
  <r>
    <x v="4"/>
    <x v="1"/>
    <s v="E01"/>
    <n v="2"/>
    <n v="6.796875"/>
    <n v="5667"/>
    <n v="5667"/>
    <n v="5369"/>
    <s v="In Detection Range"/>
    <n v="5369"/>
    <x v="64"/>
    <n v="6.8052639519099296"/>
  </r>
  <r>
    <x v="4"/>
    <x v="1"/>
    <s v="E02"/>
    <n v="2"/>
    <n v="6.796875"/>
    <n v="5071"/>
    <n v="5071"/>
    <n v="5369"/>
    <s v="In Detection Range"/>
    <n v="5369"/>
    <x v="65"/>
    <n v="6.8052639519099296"/>
  </r>
  <r>
    <x v="5"/>
    <x v="1"/>
    <s v="F01"/>
    <n v="2"/>
    <n v="1.69921875"/>
    <n v="1512"/>
    <n v="1512"/>
    <n v="1432"/>
    <s v="In Detection Range"/>
    <n v="1431.5"/>
    <x v="66"/>
    <n v="1.6460458940866201"/>
  </r>
  <r>
    <x v="5"/>
    <x v="1"/>
    <s v="F02"/>
    <n v="2"/>
    <n v="1.69921875"/>
    <n v="1351"/>
    <n v="1351"/>
    <n v="1432"/>
    <s v="In Detection Range"/>
    <n v="1431.5"/>
    <x v="67"/>
    <n v="1.6460458940866201"/>
  </r>
  <r>
    <x v="6"/>
    <x v="1"/>
    <s v="G01"/>
    <n v="2"/>
    <n v="0.4248046875"/>
    <n v="584"/>
    <n v="584"/>
    <n v="523"/>
    <s v="In Detection Range"/>
    <n v="523"/>
    <x v="68"/>
    <n v="0.453376098185443"/>
  </r>
  <r>
    <x v="6"/>
    <x v="1"/>
    <s v="G02"/>
    <n v="2"/>
    <n v="0.4248046875"/>
    <n v="462"/>
    <n v="462"/>
    <n v="523"/>
    <s v="In Detection Range"/>
    <n v="523"/>
    <x v="69"/>
    <n v="0.453376098185443"/>
  </r>
  <r>
    <x v="7"/>
    <x v="1"/>
    <s v="H01"/>
    <n v="2"/>
    <n v="0"/>
    <n v="173"/>
    <n v="173"/>
    <n v="177"/>
    <s v="Below Fit Curve Range"/>
    <n v="177"/>
    <x v="14"/>
    <s v="NaN"/>
  </r>
  <r>
    <x v="7"/>
    <x v="1"/>
    <s v="H02"/>
    <n v="2"/>
    <n v="0"/>
    <n v="181"/>
    <n v="181"/>
    <n v="177"/>
    <s v="Below Detection Range"/>
    <n v="177"/>
    <x v="70"/>
    <s v="NaN"/>
  </r>
  <r>
    <x v="8"/>
    <x v="1"/>
    <s v="A03"/>
    <n v="2"/>
    <m/>
    <n v="192"/>
    <n v="192"/>
    <n v="184"/>
    <s v="Below Detection Range"/>
    <n v="183.5"/>
    <x v="71"/>
    <s v="NaN"/>
  </r>
  <r>
    <x v="8"/>
    <x v="1"/>
    <s v="A04"/>
    <n v="2"/>
    <m/>
    <n v="175"/>
    <n v="175"/>
    <n v="184"/>
    <s v="Below Fit Curve Range"/>
    <n v="183.5"/>
    <x v="14"/>
    <s v="NaN"/>
  </r>
  <r>
    <x v="9"/>
    <x v="1"/>
    <s v="A05"/>
    <n v="2"/>
    <m/>
    <n v="213"/>
    <n v="213"/>
    <n v="205"/>
    <s v="Below Detection Range"/>
    <n v="205"/>
    <x v="72"/>
    <n v="3.4641932108832298E-2"/>
  </r>
  <r>
    <x v="9"/>
    <x v="1"/>
    <s v="A06"/>
    <n v="2"/>
    <m/>
    <n v="197"/>
    <n v="197"/>
    <n v="205"/>
    <s v="Below Detection Range"/>
    <n v="205"/>
    <x v="73"/>
    <n v="3.4641932108832298E-2"/>
  </r>
  <r>
    <x v="10"/>
    <x v="1"/>
    <s v="A07"/>
    <n v="2"/>
    <m/>
    <n v="188"/>
    <n v="188"/>
    <n v="187"/>
    <s v="Below Detection Range"/>
    <n v="186.5"/>
    <x v="74"/>
    <n v="1.01679723520473E-2"/>
  </r>
  <r>
    <x v="10"/>
    <x v="1"/>
    <s v="A08"/>
    <n v="2"/>
    <m/>
    <n v="185"/>
    <n v="185"/>
    <n v="187"/>
    <s v="Below Detection Range"/>
    <n v="186.5"/>
    <x v="75"/>
    <n v="1.01679723520473E-2"/>
  </r>
  <r>
    <x v="11"/>
    <x v="1"/>
    <s v="A10"/>
    <n v="2"/>
    <m/>
    <n v="183"/>
    <n v="183"/>
    <n v="182"/>
    <s v="Below Detection Range"/>
    <n v="182"/>
    <x v="76"/>
    <n v="4.2000324561181999E-3"/>
  </r>
  <r>
    <x v="11"/>
    <x v="1"/>
    <s v="A09"/>
    <n v="2"/>
    <m/>
    <n v="181"/>
    <n v="181"/>
    <n v="182"/>
    <s v="Below Detection Range"/>
    <n v="182"/>
    <x v="70"/>
    <n v="4.2000324561181999E-3"/>
  </r>
  <r>
    <x v="12"/>
    <x v="1"/>
    <s v="A12"/>
    <n v="2"/>
    <m/>
    <n v="332"/>
    <n v="332"/>
    <n v="285"/>
    <s v="In Detection Range"/>
    <n v="284.5"/>
    <x v="77"/>
    <n v="0.13950298410584"/>
  </r>
  <r>
    <x v="12"/>
    <x v="1"/>
    <s v="A11"/>
    <n v="2"/>
    <m/>
    <n v="237"/>
    <n v="237"/>
    <n v="285"/>
    <s v="In Detection Range"/>
    <n v="284.5"/>
    <x v="78"/>
    <n v="0.13950298410584"/>
  </r>
  <r>
    <x v="13"/>
    <x v="1"/>
    <s v="B03"/>
    <n v="2"/>
    <m/>
    <n v="162"/>
    <n v="162"/>
    <n v="168"/>
    <s v="Below Fit Curve Range"/>
    <n v="167.5"/>
    <x v="14"/>
    <s v="NaN"/>
  </r>
  <r>
    <x v="13"/>
    <x v="1"/>
    <s v="B04"/>
    <n v="2"/>
    <m/>
    <n v="173"/>
    <n v="173"/>
    <n v="168"/>
    <s v="Below Fit Curve Range"/>
    <n v="167.5"/>
    <x v="14"/>
    <s v="NaN"/>
  </r>
  <r>
    <x v="14"/>
    <x v="1"/>
    <s v="B05"/>
    <n v="2"/>
    <m/>
    <n v="182"/>
    <n v="182"/>
    <n v="189"/>
    <s v="Below Detection Range"/>
    <n v="188.5"/>
    <x v="79"/>
    <n v="1.28112971700883E-2"/>
  </r>
  <r>
    <x v="14"/>
    <x v="1"/>
    <s v="B06"/>
    <n v="2"/>
    <m/>
    <n v="195"/>
    <n v="195"/>
    <n v="189"/>
    <s v="Below Detection Range"/>
    <n v="188.5"/>
    <x v="80"/>
    <n v="1.28112971700883E-2"/>
  </r>
  <r>
    <x v="15"/>
    <x v="1"/>
    <s v="B08"/>
    <n v="2"/>
    <m/>
    <n v="162"/>
    <n v="162"/>
    <n v="170"/>
    <s v="Below Fit Curve Range"/>
    <n v="169.5"/>
    <x v="14"/>
    <s v="NaN"/>
  </r>
  <r>
    <x v="15"/>
    <x v="1"/>
    <s v="B07"/>
    <n v="2"/>
    <m/>
    <n v="177"/>
    <n v="177"/>
    <n v="170"/>
    <s v="Below Fit Curve Range"/>
    <n v="169.5"/>
    <x v="14"/>
    <s v="NaN"/>
  </r>
  <r>
    <x v="16"/>
    <x v="1"/>
    <s v="B09"/>
    <n v="2"/>
    <m/>
    <n v="163"/>
    <n v="163"/>
    <n v="171"/>
    <s v="Below Fit Curve Range"/>
    <n v="171"/>
    <x v="14"/>
    <s v="NaN"/>
  </r>
  <r>
    <x v="16"/>
    <x v="1"/>
    <s v="B10"/>
    <n v="2"/>
    <m/>
    <n v="179"/>
    <n v="179"/>
    <n v="171"/>
    <s v="Below Detection Range"/>
    <n v="171"/>
    <x v="81"/>
    <s v="NaN"/>
  </r>
  <r>
    <x v="17"/>
    <x v="1"/>
    <s v="B12"/>
    <n v="2"/>
    <m/>
    <n v="191"/>
    <n v="191"/>
    <n v="184"/>
    <s v="Below Detection Range"/>
    <n v="184"/>
    <x v="82"/>
    <s v="NaN"/>
  </r>
  <r>
    <x v="17"/>
    <x v="1"/>
    <s v="B11"/>
    <n v="2"/>
    <m/>
    <n v="177"/>
    <n v="177"/>
    <n v="184"/>
    <s v="Below Fit Curve Range"/>
    <n v="184"/>
    <x v="14"/>
    <s v="NaN"/>
  </r>
  <r>
    <x v="18"/>
    <x v="1"/>
    <s v="C03"/>
    <n v="2"/>
    <m/>
    <n v="187"/>
    <n v="187"/>
    <n v="181"/>
    <s v="Below Detection Range"/>
    <n v="180.5"/>
    <x v="83"/>
    <s v="NaN"/>
  </r>
  <r>
    <x v="18"/>
    <x v="1"/>
    <s v="C04"/>
    <n v="2"/>
    <m/>
    <n v="174"/>
    <n v="174"/>
    <n v="181"/>
    <s v="Below Fit Curve Range"/>
    <n v="180.5"/>
    <x v="14"/>
    <s v="NaN"/>
  </r>
  <r>
    <x v="19"/>
    <x v="1"/>
    <s v="C06"/>
    <n v="2"/>
    <m/>
    <n v="238"/>
    <n v="238"/>
    <n v="255"/>
    <s v="In Detection Range"/>
    <n v="255"/>
    <x v="84"/>
    <n v="0.100638685723487"/>
  </r>
  <r>
    <x v="19"/>
    <x v="1"/>
    <s v="C05"/>
    <n v="2"/>
    <m/>
    <n v="272"/>
    <n v="272"/>
    <n v="255"/>
    <s v="In Detection Range"/>
    <n v="255"/>
    <x v="85"/>
    <n v="0.100638685723487"/>
  </r>
  <r>
    <x v="20"/>
    <x v="1"/>
    <s v="C07"/>
    <n v="2"/>
    <m/>
    <n v="190"/>
    <n v="190"/>
    <n v="195"/>
    <s v="Below Detection Range"/>
    <n v="194.5"/>
    <x v="86"/>
    <n v="2.0758730824711899E-2"/>
  </r>
  <r>
    <x v="20"/>
    <x v="1"/>
    <s v="C08"/>
    <n v="2"/>
    <m/>
    <n v="199"/>
    <n v="199"/>
    <n v="195"/>
    <s v="Below Detection Range"/>
    <n v="194.5"/>
    <x v="87"/>
    <n v="2.0758730824711899E-2"/>
  </r>
  <r>
    <x v="21"/>
    <x v="1"/>
    <s v="C10"/>
    <n v="2"/>
    <m/>
    <n v="178"/>
    <n v="178"/>
    <n v="193"/>
    <s v="Below Fit Curve Range"/>
    <n v="193"/>
    <x v="14"/>
    <s v="NaN"/>
  </r>
  <r>
    <x v="21"/>
    <x v="1"/>
    <s v="C09"/>
    <n v="2"/>
    <m/>
    <n v="208"/>
    <n v="208"/>
    <n v="193"/>
    <s v="Below Detection Range"/>
    <n v="193"/>
    <x v="88"/>
    <s v="NaN"/>
  </r>
  <r>
    <x v="22"/>
    <x v="1"/>
    <s v="C12"/>
    <n v="2"/>
    <m/>
    <n v="233"/>
    <n v="233"/>
    <n v="248"/>
    <s v="In Detection Range"/>
    <n v="248"/>
    <x v="89"/>
    <n v="9.1407240167145395E-2"/>
  </r>
  <r>
    <x v="22"/>
    <x v="1"/>
    <s v="C11"/>
    <n v="2"/>
    <m/>
    <n v="263"/>
    <n v="263"/>
    <n v="248"/>
    <s v="In Detection Range"/>
    <n v="248"/>
    <x v="90"/>
    <n v="9.1407240167145395E-2"/>
  </r>
  <r>
    <x v="23"/>
    <x v="1"/>
    <s v="D03"/>
    <n v="2"/>
    <m/>
    <n v="163"/>
    <n v="163"/>
    <n v="162"/>
    <s v="Below Fit Curve Range"/>
    <n v="162"/>
    <x v="14"/>
    <s v="NaN"/>
  </r>
  <r>
    <x v="23"/>
    <x v="1"/>
    <s v="D04"/>
    <n v="2"/>
    <m/>
    <n v="161"/>
    <n v="161"/>
    <n v="162"/>
    <s v="Below Fit Curve Range"/>
    <n v="162"/>
    <x v="14"/>
    <s v="NaN"/>
  </r>
  <r>
    <x v="24"/>
    <x v="1"/>
    <s v="D05"/>
    <n v="2"/>
    <m/>
    <n v="159"/>
    <n v="159"/>
    <n v="167"/>
    <s v="Below Fit Curve Range"/>
    <n v="167"/>
    <x v="14"/>
    <s v="NaN"/>
  </r>
  <r>
    <x v="24"/>
    <x v="1"/>
    <s v="D06"/>
    <n v="2"/>
    <m/>
    <n v="175"/>
    <n v="175"/>
    <n v="167"/>
    <s v="Below Fit Curve Range"/>
    <n v="167"/>
    <x v="14"/>
    <s v="NaN"/>
  </r>
  <r>
    <x v="25"/>
    <x v="1"/>
    <s v="D07"/>
    <n v="2"/>
    <m/>
    <n v="150"/>
    <n v="150"/>
    <n v="165"/>
    <s v="Below Fit Curve Range"/>
    <n v="165"/>
    <x v="14"/>
    <s v="NaN"/>
  </r>
  <r>
    <x v="25"/>
    <x v="1"/>
    <s v="D08"/>
    <n v="2"/>
    <m/>
    <n v="180"/>
    <n v="180"/>
    <n v="165"/>
    <s v="Below Detection Range"/>
    <n v="165"/>
    <x v="91"/>
    <s v="NaN"/>
  </r>
  <r>
    <x v="26"/>
    <x v="1"/>
    <s v="D09"/>
    <n v="2"/>
    <m/>
    <n v="176"/>
    <n v="176"/>
    <n v="180"/>
    <s v="Below Fit Curve Range"/>
    <n v="179.5"/>
    <x v="14"/>
    <s v="NaN"/>
  </r>
  <r>
    <x v="26"/>
    <x v="1"/>
    <s v="D10"/>
    <n v="2"/>
    <m/>
    <n v="183"/>
    <n v="183"/>
    <n v="180"/>
    <s v="Below Detection Range"/>
    <n v="179.5"/>
    <x v="76"/>
    <s v="NaN"/>
  </r>
  <r>
    <x v="27"/>
    <x v="1"/>
    <s v="D12"/>
    <n v="2"/>
    <m/>
    <n v="165"/>
    <n v="165"/>
    <n v="157"/>
    <s v="Below Fit Curve Range"/>
    <n v="156.5"/>
    <x v="14"/>
    <s v="NaN"/>
  </r>
  <r>
    <x v="27"/>
    <x v="1"/>
    <s v="D11"/>
    <n v="2"/>
    <m/>
    <n v="148"/>
    <n v="148"/>
    <n v="157"/>
    <s v="Below Fit Curve Range"/>
    <n v="156.5"/>
    <x v="14"/>
    <s v="NaN"/>
  </r>
  <r>
    <x v="28"/>
    <x v="1"/>
    <s v="E03"/>
    <n v="2"/>
    <m/>
    <n v="240"/>
    <n v="240"/>
    <n v="216"/>
    <s v="In Detection Range"/>
    <n v="216"/>
    <x v="92"/>
    <n v="4.91551968217043E-2"/>
  </r>
  <r>
    <x v="28"/>
    <x v="1"/>
    <s v="E04"/>
    <n v="2"/>
    <m/>
    <n v="192"/>
    <n v="192"/>
    <n v="216"/>
    <s v="Below Detection Range"/>
    <n v="216"/>
    <x v="71"/>
    <n v="4.91551968217043E-2"/>
  </r>
  <r>
    <x v="29"/>
    <x v="1"/>
    <s v="E06"/>
    <n v="2"/>
    <m/>
    <n v="180"/>
    <n v="180"/>
    <n v="186"/>
    <s v="Below Detection Range"/>
    <n v="185.5"/>
    <x v="91"/>
    <n v="8.8356329598860799E-3"/>
  </r>
  <r>
    <x v="29"/>
    <x v="1"/>
    <s v="E05"/>
    <n v="2"/>
    <m/>
    <n v="191"/>
    <n v="191"/>
    <n v="186"/>
    <s v="Below Detection Range"/>
    <n v="185.5"/>
    <x v="82"/>
    <n v="8.8356329598860799E-3"/>
  </r>
  <r>
    <x v="30"/>
    <x v="1"/>
    <s v="E07"/>
    <n v="2"/>
    <m/>
    <n v="244"/>
    <n v="244"/>
    <n v="225"/>
    <s v="In Detection Range"/>
    <n v="225"/>
    <x v="93"/>
    <n v="6.1051200692405397E-2"/>
  </r>
  <r>
    <x v="30"/>
    <x v="1"/>
    <s v="E08"/>
    <n v="2"/>
    <m/>
    <n v="206"/>
    <n v="206"/>
    <n v="225"/>
    <s v="Below Detection Range"/>
    <n v="225"/>
    <x v="94"/>
    <n v="6.1051200692405397E-2"/>
  </r>
  <r>
    <x v="31"/>
    <x v="1"/>
    <s v="E10"/>
    <n v="2"/>
    <m/>
    <n v="176"/>
    <n v="176"/>
    <n v="212"/>
    <s v="Below Fit Curve Range"/>
    <n v="211.5"/>
    <x v="14"/>
    <s v="NaN"/>
  </r>
  <r>
    <x v="31"/>
    <x v="1"/>
    <s v="E09"/>
    <n v="2"/>
    <m/>
    <n v="247"/>
    <n v="247"/>
    <n v="212"/>
    <s v="In Detection Range"/>
    <n v="211.5"/>
    <x v="95"/>
    <s v="NaN"/>
  </r>
  <r>
    <x v="32"/>
    <x v="1"/>
    <s v="E12"/>
    <n v="2"/>
    <m/>
    <n v="201"/>
    <n v="201"/>
    <n v="230"/>
    <s v="Below Detection Range"/>
    <n v="230"/>
    <x v="96"/>
    <n v="6.7638162397058194E-2"/>
  </r>
  <r>
    <x v="32"/>
    <x v="1"/>
    <s v="E11"/>
    <n v="2"/>
    <m/>
    <n v="259"/>
    <n v="259"/>
    <n v="230"/>
    <s v="In Detection Range"/>
    <n v="230"/>
    <x v="97"/>
    <n v="6.7638162397058194E-2"/>
  </r>
  <r>
    <x v="33"/>
    <x v="1"/>
    <s v="F04"/>
    <n v="2"/>
    <m/>
    <n v="159"/>
    <n v="159"/>
    <n v="172"/>
    <s v="Below Fit Curve Range"/>
    <n v="171.5"/>
    <x v="14"/>
    <s v="NaN"/>
  </r>
  <r>
    <x v="33"/>
    <x v="1"/>
    <s v="F03"/>
    <n v="2"/>
    <m/>
    <n v="184"/>
    <n v="184"/>
    <n v="172"/>
    <s v="Below Detection Range"/>
    <n v="171.5"/>
    <x v="98"/>
    <s v="NaN"/>
  </r>
  <r>
    <x v="34"/>
    <x v="1"/>
    <s v="F05"/>
    <n v="2"/>
    <m/>
    <n v="168"/>
    <n v="168"/>
    <n v="169"/>
    <s v="Below Fit Curve Range"/>
    <n v="169"/>
    <x v="14"/>
    <s v="NaN"/>
  </r>
  <r>
    <x v="34"/>
    <x v="1"/>
    <s v="F06"/>
    <n v="2"/>
    <m/>
    <n v="170"/>
    <n v="170"/>
    <n v="169"/>
    <s v="Below Fit Curve Range"/>
    <n v="169"/>
    <x v="14"/>
    <s v="NaN"/>
  </r>
  <r>
    <x v="35"/>
    <x v="1"/>
    <s v="F08"/>
    <n v="2"/>
    <m/>
    <n v="169"/>
    <n v="169"/>
    <n v="171"/>
    <s v="Below Fit Curve Range"/>
    <n v="170.5"/>
    <x v="14"/>
    <s v="NaN"/>
  </r>
  <r>
    <x v="35"/>
    <x v="1"/>
    <s v="F07"/>
    <n v="2"/>
    <m/>
    <n v="172"/>
    <n v="172"/>
    <n v="171"/>
    <s v="Below Fit Curve Range"/>
    <n v="170.5"/>
    <x v="14"/>
    <s v="NaN"/>
  </r>
  <r>
    <x v="36"/>
    <x v="1"/>
    <s v="F09"/>
    <n v="2"/>
    <m/>
    <n v="170"/>
    <n v="170"/>
    <n v="180"/>
    <s v="Below Fit Curve Range"/>
    <n v="179.5"/>
    <x v="14"/>
    <s v="NaN"/>
  </r>
  <r>
    <x v="36"/>
    <x v="1"/>
    <s v="F10"/>
    <n v="2"/>
    <m/>
    <n v="189"/>
    <n v="189"/>
    <n v="180"/>
    <s v="Below Detection Range"/>
    <n v="179.5"/>
    <x v="99"/>
    <s v="NaN"/>
  </r>
  <r>
    <x v="37"/>
    <x v="1"/>
    <s v="F12"/>
    <n v="2"/>
    <m/>
    <n v="195"/>
    <n v="195"/>
    <n v="196"/>
    <s v="Below Detection Range"/>
    <n v="195.5"/>
    <x v="80"/>
    <n v="2.2083593892891201E-2"/>
  </r>
  <r>
    <x v="37"/>
    <x v="1"/>
    <s v="F11"/>
    <n v="2"/>
    <m/>
    <n v="196"/>
    <n v="196"/>
    <n v="196"/>
    <s v="Below Detection Range"/>
    <n v="195.5"/>
    <x v="100"/>
    <n v="2.2083593892891201E-2"/>
  </r>
  <r>
    <x v="38"/>
    <x v="1"/>
    <s v="G04"/>
    <n v="2"/>
    <m/>
    <n v="167"/>
    <n v="167"/>
    <n v="173"/>
    <s v="Below Fit Curve Range"/>
    <n v="173"/>
    <x v="14"/>
    <s v="NaN"/>
  </r>
  <r>
    <x v="38"/>
    <x v="1"/>
    <s v="G03"/>
    <n v="2"/>
    <m/>
    <n v="179"/>
    <n v="179"/>
    <n v="173"/>
    <s v="Below Detection Range"/>
    <n v="173"/>
    <x v="81"/>
    <s v="NaN"/>
  </r>
  <r>
    <x v="39"/>
    <x v="1"/>
    <s v="G06"/>
    <n v="2"/>
    <m/>
    <n v="183"/>
    <n v="183"/>
    <n v="181"/>
    <s v="Below Detection Range"/>
    <n v="181"/>
    <x v="76"/>
    <n v="2.86910443584065E-3"/>
  </r>
  <r>
    <x v="39"/>
    <x v="1"/>
    <s v="G05"/>
    <n v="2"/>
    <m/>
    <n v="179"/>
    <n v="179"/>
    <n v="181"/>
    <s v="Below Detection Range"/>
    <n v="181"/>
    <x v="81"/>
    <n v="2.86910443584065E-3"/>
  </r>
  <r>
    <x v="40"/>
    <x v="1"/>
    <s v="G08"/>
    <n v="2"/>
    <m/>
    <n v="192"/>
    <n v="192"/>
    <n v="197"/>
    <s v="Below Detection Range"/>
    <n v="196.5"/>
    <x v="71"/>
    <n v="2.3404883970521199E-2"/>
  </r>
  <r>
    <x v="40"/>
    <x v="1"/>
    <s v="G07"/>
    <n v="2"/>
    <m/>
    <n v="201"/>
    <n v="201"/>
    <n v="197"/>
    <s v="Below Detection Range"/>
    <n v="196.5"/>
    <x v="96"/>
    <n v="2.3404883970521199E-2"/>
  </r>
  <r>
    <x v="41"/>
    <x v="1"/>
    <s v="G10"/>
    <n v="2"/>
    <m/>
    <n v="196"/>
    <n v="196"/>
    <n v="235"/>
    <s v="Below Detection Range"/>
    <n v="235"/>
    <x v="100"/>
    <n v="7.4219663321503399E-2"/>
  </r>
  <r>
    <x v="41"/>
    <x v="1"/>
    <s v="G09"/>
    <n v="2"/>
    <m/>
    <n v="274"/>
    <n v="274"/>
    <n v="235"/>
    <s v="In Detection Range"/>
    <n v="235"/>
    <x v="101"/>
    <n v="7.4219663321503399E-2"/>
  </r>
  <r>
    <x v="42"/>
    <x v="1"/>
    <s v="G12"/>
    <n v="2"/>
    <m/>
    <n v="191"/>
    <n v="191"/>
    <n v="213"/>
    <s v="Below Detection Range"/>
    <n v="212.5"/>
    <x v="82"/>
    <n v="4.4534835872768699E-2"/>
  </r>
  <r>
    <x v="42"/>
    <x v="1"/>
    <s v="G11"/>
    <n v="2"/>
    <m/>
    <n v="234"/>
    <n v="234"/>
    <n v="213"/>
    <s v="In Detection Range"/>
    <n v="212.5"/>
    <x v="102"/>
    <n v="4.4534835872768699E-2"/>
  </r>
  <r>
    <x v="43"/>
    <x v="1"/>
    <s v="H04"/>
    <n v="2"/>
    <m/>
    <n v="162"/>
    <n v="162"/>
    <n v="178"/>
    <s v="Below Fit Curve Range"/>
    <n v="177.5"/>
    <x v="14"/>
    <s v="NaN"/>
  </r>
  <r>
    <x v="43"/>
    <x v="1"/>
    <s v="H03"/>
    <n v="2"/>
    <m/>
    <n v="193"/>
    <n v="193"/>
    <n v="178"/>
    <s v="Below Detection Range"/>
    <n v="177.5"/>
    <x v="103"/>
    <s v="NaN"/>
  </r>
  <r>
    <x v="44"/>
    <x v="1"/>
    <s v="H06"/>
    <n v="2"/>
    <m/>
    <n v="179"/>
    <n v="179"/>
    <n v="185"/>
    <s v="Below Detection Range"/>
    <n v="185"/>
    <x v="81"/>
    <n v="8.1694441087368907E-3"/>
  </r>
  <r>
    <x v="44"/>
    <x v="1"/>
    <s v="H05"/>
    <n v="2"/>
    <m/>
    <n v="191"/>
    <n v="191"/>
    <n v="185"/>
    <s v="Below Detection Range"/>
    <n v="185"/>
    <x v="82"/>
    <n v="8.1694441087368907E-3"/>
  </r>
  <r>
    <x v="45"/>
    <x v="1"/>
    <s v="H07"/>
    <n v="2"/>
    <m/>
    <n v="182"/>
    <n v="182"/>
    <n v="184"/>
    <s v="Below Detection Range"/>
    <n v="183.5"/>
    <x v="79"/>
    <n v="6.1903597967977297E-3"/>
  </r>
  <r>
    <x v="45"/>
    <x v="1"/>
    <s v="H08"/>
    <n v="2"/>
    <m/>
    <n v="185"/>
    <n v="185"/>
    <n v="184"/>
    <s v="Below Detection Range"/>
    <n v="183.5"/>
    <x v="75"/>
    <n v="6.1903597967977297E-3"/>
  </r>
  <r>
    <x v="46"/>
    <x v="1"/>
    <s v="H09"/>
    <n v="2"/>
    <m/>
    <n v="220"/>
    <n v="220"/>
    <n v="213"/>
    <s v="In Detection Range"/>
    <n v="212.5"/>
    <x v="104"/>
    <n v="4.45531456380448E-2"/>
  </r>
  <r>
    <x v="46"/>
    <x v="1"/>
    <s v="H10"/>
    <n v="2"/>
    <m/>
    <n v="205"/>
    <n v="205"/>
    <n v="213"/>
    <s v="Below Detection Range"/>
    <n v="212.5"/>
    <x v="105"/>
    <n v="4.45531456380448E-2"/>
  </r>
  <r>
    <x v="47"/>
    <x v="1"/>
    <s v="H12"/>
    <n v="2"/>
    <m/>
    <n v="203"/>
    <n v="203"/>
    <n v="201"/>
    <s v="Below Detection Range"/>
    <n v="200.5"/>
    <x v="106"/>
    <n v="2.86961433451999E-2"/>
  </r>
  <r>
    <x v="47"/>
    <x v="1"/>
    <s v="H11"/>
    <n v="2"/>
    <m/>
    <n v="198"/>
    <n v="198"/>
    <n v="201"/>
    <s v="Below Detection Range"/>
    <n v="200.5"/>
    <x v="107"/>
    <n v="2.86961433451999E-2"/>
  </r>
  <r>
    <x v="0"/>
    <x v="2"/>
    <s v="A02"/>
    <n v="6"/>
    <n v="4930"/>
    <n v="1050588"/>
    <n v="1050588"/>
    <n v="1037076"/>
    <s v="Above Fit Curve Range"/>
    <n v="1037075.5"/>
    <x v="108"/>
    <n v="5143.9342701675996"/>
  </r>
  <r>
    <x v="0"/>
    <x v="2"/>
    <s v="A01"/>
    <n v="6"/>
    <n v="4930"/>
    <n v="1023563"/>
    <n v="1023563"/>
    <n v="1037076"/>
    <s v="Above Fit Curve Range"/>
    <n v="1037075.5"/>
    <x v="109"/>
    <n v="5143.9342701675996"/>
  </r>
  <r>
    <x v="1"/>
    <x v="2"/>
    <s v="B02"/>
    <n v="6"/>
    <n v="1232.5"/>
    <n v="232421"/>
    <n v="232421"/>
    <n v="231826"/>
    <s v="In Detection Range"/>
    <n v="231825.5"/>
    <x v="110"/>
    <n v="1233.07330189973"/>
  </r>
  <r>
    <x v="1"/>
    <x v="2"/>
    <s v="B01"/>
    <n v="6"/>
    <n v="1232.5"/>
    <n v="231230"/>
    <n v="231230"/>
    <n v="231826"/>
    <s v="In Detection Range"/>
    <n v="231825.5"/>
    <x v="111"/>
    <n v="1233.07330189973"/>
  </r>
  <r>
    <x v="2"/>
    <x v="2"/>
    <s v="C02"/>
    <n v="6"/>
    <n v="308.125"/>
    <n v="52202"/>
    <n v="52202"/>
    <n v="52000"/>
    <s v="In Detection Range"/>
    <n v="51999.5"/>
    <x v="112"/>
    <n v="295.922452174417"/>
  </r>
  <r>
    <x v="2"/>
    <x v="2"/>
    <s v="C01"/>
    <n v="6"/>
    <n v="308.125"/>
    <n v="51797"/>
    <n v="51797"/>
    <n v="52000"/>
    <s v="In Detection Range"/>
    <n v="51999.5"/>
    <x v="113"/>
    <n v="295.922452174417"/>
  </r>
  <r>
    <x v="3"/>
    <x v="2"/>
    <s v="D01"/>
    <n v="6"/>
    <n v="77.03125"/>
    <n v="12509"/>
    <n v="12509"/>
    <n v="12441"/>
    <s v="In Detection Range"/>
    <n v="12440.5"/>
    <x v="114"/>
    <n v="74.743539845498503"/>
  </r>
  <r>
    <x v="3"/>
    <x v="2"/>
    <s v="D02"/>
    <n v="6"/>
    <n v="77.03125"/>
    <n v="12372"/>
    <n v="12372"/>
    <n v="12441"/>
    <s v="In Detection Range"/>
    <n v="12440.5"/>
    <x v="115"/>
    <n v="74.743539845498503"/>
  </r>
  <r>
    <x v="4"/>
    <x v="2"/>
    <s v="E02"/>
    <n v="6"/>
    <n v="19.2578125"/>
    <n v="3189"/>
    <n v="3189"/>
    <n v="3180"/>
    <s v="In Detection Range"/>
    <n v="3180"/>
    <x v="116"/>
    <n v="19.307636478258001"/>
  </r>
  <r>
    <x v="4"/>
    <x v="2"/>
    <s v="E01"/>
    <n v="6"/>
    <n v="19.2578125"/>
    <n v="3171"/>
    <n v="3171"/>
    <n v="3180"/>
    <s v="In Detection Range"/>
    <n v="3180"/>
    <x v="117"/>
    <n v="19.307636478258001"/>
  </r>
  <r>
    <x v="5"/>
    <x v="2"/>
    <s v="F01"/>
    <n v="6"/>
    <n v="4.814453125"/>
    <n v="945"/>
    <n v="945"/>
    <n v="942"/>
    <s v="In Detection Range"/>
    <n v="941.5"/>
    <x v="118"/>
    <n v="4.9707249999024503"/>
  </r>
  <r>
    <x v="5"/>
    <x v="2"/>
    <s v="F02"/>
    <n v="6"/>
    <n v="4.814453125"/>
    <n v="938"/>
    <n v="938"/>
    <n v="942"/>
    <s v="In Detection Range"/>
    <n v="941.5"/>
    <x v="119"/>
    <n v="4.9707249999024503"/>
  </r>
  <r>
    <x v="6"/>
    <x v="2"/>
    <s v="G02"/>
    <n v="6"/>
    <n v="1.20361328125"/>
    <n v="411"/>
    <n v="411"/>
    <n v="407"/>
    <s v="In Detection Range"/>
    <n v="407"/>
    <x v="120"/>
    <n v="1.30882800653997"/>
  </r>
  <r>
    <x v="6"/>
    <x v="2"/>
    <s v="G01"/>
    <n v="6"/>
    <n v="1.20361328125"/>
    <n v="403"/>
    <n v="403"/>
    <n v="407"/>
    <s v="In Detection Range"/>
    <n v="407"/>
    <x v="121"/>
    <n v="1.30882800653997"/>
  </r>
  <r>
    <x v="7"/>
    <x v="2"/>
    <s v="H01"/>
    <n v="6"/>
    <n v="0"/>
    <n v="226"/>
    <n v="226"/>
    <n v="227"/>
    <s v="Below Fit Curve Range"/>
    <n v="226.5"/>
    <x v="14"/>
    <s v="NaN"/>
  </r>
  <r>
    <x v="7"/>
    <x v="2"/>
    <s v="H02"/>
    <n v="6"/>
    <n v="0"/>
    <n v="227"/>
    <n v="227"/>
    <n v="227"/>
    <s v="Below Fit Curve Range"/>
    <n v="226.5"/>
    <x v="14"/>
    <s v="NaN"/>
  </r>
  <r>
    <x v="8"/>
    <x v="2"/>
    <s v="A03"/>
    <n v="6"/>
    <m/>
    <n v="5385"/>
    <n v="5385"/>
    <n v="5398"/>
    <s v="In Detection Range"/>
    <n v="5397.5"/>
    <x v="122"/>
    <n v="32.942598430799599"/>
  </r>
  <r>
    <x v="8"/>
    <x v="2"/>
    <s v="A04"/>
    <n v="6"/>
    <m/>
    <n v="5410"/>
    <n v="5410"/>
    <n v="5398"/>
    <s v="In Detection Range"/>
    <n v="5397.5"/>
    <x v="123"/>
    <n v="32.942598430799599"/>
  </r>
  <r>
    <x v="9"/>
    <x v="2"/>
    <s v="A05"/>
    <n v="6"/>
    <m/>
    <n v="464"/>
    <n v="464"/>
    <n v="465"/>
    <s v="In Detection Range"/>
    <n v="465"/>
    <x v="124"/>
    <n v="1.71974736252629"/>
  </r>
  <r>
    <x v="9"/>
    <x v="2"/>
    <s v="A06"/>
    <n v="6"/>
    <m/>
    <n v="466"/>
    <n v="466"/>
    <n v="465"/>
    <s v="In Detection Range"/>
    <n v="465"/>
    <x v="125"/>
    <n v="1.71974736252629"/>
  </r>
  <r>
    <x v="10"/>
    <x v="2"/>
    <s v="A08"/>
    <n v="6"/>
    <m/>
    <n v="15478"/>
    <n v="15478"/>
    <n v="15643"/>
    <s v="In Detection Range"/>
    <n v="15643"/>
    <x v="126"/>
    <n v="93.311969342450595"/>
  </r>
  <r>
    <x v="10"/>
    <x v="2"/>
    <s v="A07"/>
    <n v="6"/>
    <m/>
    <n v="15808"/>
    <n v="15808"/>
    <n v="15643"/>
    <s v="In Detection Range"/>
    <n v="15643"/>
    <x v="127"/>
    <n v="93.311969342450595"/>
  </r>
  <r>
    <x v="11"/>
    <x v="2"/>
    <s v="A09"/>
    <n v="6"/>
    <m/>
    <n v="668"/>
    <n v="668"/>
    <n v="674"/>
    <s v="In Detection Range"/>
    <n v="673.5"/>
    <x v="128"/>
    <n v="3.1629031419005802"/>
  </r>
  <r>
    <x v="11"/>
    <x v="2"/>
    <s v="A10"/>
    <n v="6"/>
    <m/>
    <n v="679"/>
    <n v="679"/>
    <n v="674"/>
    <s v="In Detection Range"/>
    <n v="673.5"/>
    <x v="129"/>
    <n v="3.1629031419005802"/>
  </r>
  <r>
    <x v="12"/>
    <x v="2"/>
    <s v="A12"/>
    <n v="6"/>
    <m/>
    <n v="337"/>
    <n v="337"/>
    <n v="338"/>
    <s v="In Detection Range"/>
    <n v="338"/>
    <x v="130"/>
    <n v="0.81108311232560204"/>
  </r>
  <r>
    <x v="12"/>
    <x v="2"/>
    <s v="A11"/>
    <n v="6"/>
    <m/>
    <n v="339"/>
    <n v="339"/>
    <n v="338"/>
    <s v="In Detection Range"/>
    <n v="338"/>
    <x v="131"/>
    <n v="0.81108311232560204"/>
  </r>
  <r>
    <x v="13"/>
    <x v="2"/>
    <s v="B03"/>
    <n v="6"/>
    <m/>
    <n v="13919"/>
    <n v="13919"/>
    <n v="13972"/>
    <s v="In Detection Range"/>
    <n v="13971.5"/>
    <x v="132"/>
    <n v="83.646173680998501"/>
  </r>
  <r>
    <x v="13"/>
    <x v="2"/>
    <s v="B04"/>
    <n v="6"/>
    <m/>
    <n v="14024"/>
    <n v="14024"/>
    <n v="13972"/>
    <s v="In Detection Range"/>
    <n v="13971.5"/>
    <x v="133"/>
    <n v="83.646173680998501"/>
  </r>
  <r>
    <x v="14"/>
    <x v="2"/>
    <s v="B05"/>
    <n v="6"/>
    <m/>
    <n v="7364"/>
    <n v="7364"/>
    <n v="7504"/>
    <s v="In Detection Range"/>
    <n v="7503.5"/>
    <x v="134"/>
    <n v="45.626446846646203"/>
  </r>
  <r>
    <x v="14"/>
    <x v="2"/>
    <s v="B06"/>
    <n v="6"/>
    <m/>
    <n v="7643"/>
    <n v="7643"/>
    <n v="7504"/>
    <s v="In Detection Range"/>
    <n v="7503.5"/>
    <x v="135"/>
    <n v="45.626446846646203"/>
  </r>
  <r>
    <x v="15"/>
    <x v="2"/>
    <s v="B08"/>
    <n v="6"/>
    <m/>
    <n v="10835"/>
    <n v="10835"/>
    <n v="11942"/>
    <s v="In Detection Range"/>
    <n v="11942"/>
    <x v="136"/>
    <n v="71.819159918906493"/>
  </r>
  <r>
    <x v="15"/>
    <x v="2"/>
    <s v="B07"/>
    <n v="6"/>
    <m/>
    <n v="13049"/>
    <n v="13049"/>
    <n v="11942"/>
    <s v="In Detection Range"/>
    <n v="11942"/>
    <x v="137"/>
    <n v="71.819159918906493"/>
  </r>
  <r>
    <x v="16"/>
    <x v="2"/>
    <s v="B09"/>
    <n v="6"/>
    <m/>
    <n v="3219"/>
    <n v="3219"/>
    <n v="3160"/>
    <s v="In Detection Range"/>
    <n v="3160"/>
    <x v="138"/>
    <n v="19.182667691897699"/>
  </r>
  <r>
    <x v="16"/>
    <x v="2"/>
    <s v="B10"/>
    <n v="6"/>
    <m/>
    <n v="3101"/>
    <n v="3101"/>
    <n v="3160"/>
    <s v="In Detection Range"/>
    <n v="3160"/>
    <x v="139"/>
    <n v="19.182667691897699"/>
  </r>
  <r>
    <x v="17"/>
    <x v="2"/>
    <s v="B11"/>
    <n v="6"/>
    <m/>
    <n v="11968"/>
    <n v="11968"/>
    <n v="12303"/>
    <s v="In Detection Range"/>
    <n v="12302.5"/>
    <x v="140"/>
    <n v="73.937337639655595"/>
  </r>
  <r>
    <x v="17"/>
    <x v="2"/>
    <s v="B12"/>
    <n v="6"/>
    <m/>
    <n v="12637"/>
    <n v="12637"/>
    <n v="12303"/>
    <s v="In Detection Range"/>
    <n v="12302.5"/>
    <x v="141"/>
    <n v="73.937337639655595"/>
  </r>
  <r>
    <x v="18"/>
    <x v="2"/>
    <s v="C03"/>
    <n v="6"/>
    <m/>
    <n v="4258"/>
    <n v="4258"/>
    <n v="4315"/>
    <s v="In Detection Range"/>
    <n v="4315"/>
    <x v="142"/>
    <n v="26.3311302026435"/>
  </r>
  <r>
    <x v="18"/>
    <x v="2"/>
    <s v="C04"/>
    <n v="6"/>
    <m/>
    <n v="4372"/>
    <n v="4372"/>
    <n v="4315"/>
    <s v="In Detection Range"/>
    <n v="4315"/>
    <x v="143"/>
    <n v="26.3311302026435"/>
  </r>
  <r>
    <x v="19"/>
    <x v="2"/>
    <s v="C06"/>
    <n v="6"/>
    <m/>
    <n v="26110"/>
    <n v="26110"/>
    <n v="26234"/>
    <s v="In Detection Range"/>
    <n v="26234"/>
    <x v="144"/>
    <n v="153.57707624476299"/>
  </r>
  <r>
    <x v="19"/>
    <x v="2"/>
    <s v="C05"/>
    <n v="6"/>
    <m/>
    <n v="26358"/>
    <n v="26358"/>
    <n v="26234"/>
    <s v="In Detection Range"/>
    <n v="26234"/>
    <x v="145"/>
    <n v="153.57707624476299"/>
  </r>
  <r>
    <x v="20"/>
    <x v="2"/>
    <s v="C08"/>
    <n v="6"/>
    <m/>
    <n v="7638"/>
    <n v="7638"/>
    <n v="7462"/>
    <s v="In Detection Range"/>
    <n v="7462"/>
    <x v="146"/>
    <n v="45.378144562101198"/>
  </r>
  <r>
    <x v="20"/>
    <x v="2"/>
    <s v="C07"/>
    <n v="6"/>
    <m/>
    <n v="7286"/>
    <n v="7286"/>
    <n v="7462"/>
    <s v="In Detection Range"/>
    <n v="7462"/>
    <x v="147"/>
    <n v="45.378144562101198"/>
  </r>
  <r>
    <x v="21"/>
    <x v="2"/>
    <s v="C09"/>
    <n v="6"/>
    <m/>
    <n v="12769"/>
    <n v="12769"/>
    <n v="13032"/>
    <s v="In Detection Range"/>
    <n v="13032"/>
    <x v="148"/>
    <n v="78.188304661751204"/>
  </r>
  <r>
    <x v="21"/>
    <x v="2"/>
    <s v="C10"/>
    <n v="6"/>
    <m/>
    <n v="13295"/>
    <n v="13295"/>
    <n v="13032"/>
    <s v="In Detection Range"/>
    <n v="13032"/>
    <x v="149"/>
    <n v="78.188304661751204"/>
  </r>
  <r>
    <x v="22"/>
    <x v="2"/>
    <s v="C12"/>
    <n v="6"/>
    <m/>
    <n v="74765"/>
    <n v="74765"/>
    <n v="73770"/>
    <s v="In Detection Range"/>
    <n v="73770"/>
    <x v="150"/>
    <n v="413.422913906345"/>
  </r>
  <r>
    <x v="22"/>
    <x v="2"/>
    <s v="C11"/>
    <n v="6"/>
    <m/>
    <n v="72775"/>
    <n v="72775"/>
    <n v="73770"/>
    <s v="In Detection Range"/>
    <n v="73770"/>
    <x v="151"/>
    <n v="413.422913906345"/>
  </r>
  <r>
    <x v="23"/>
    <x v="2"/>
    <s v="D03"/>
    <n v="6"/>
    <m/>
    <n v="888"/>
    <n v="888"/>
    <n v="869"/>
    <s v="In Detection Range"/>
    <n v="869"/>
    <x v="152"/>
    <n v="4.4854272801904704"/>
  </r>
  <r>
    <x v="23"/>
    <x v="2"/>
    <s v="D04"/>
    <n v="6"/>
    <m/>
    <n v="850"/>
    <n v="850"/>
    <n v="869"/>
    <s v="In Detection Range"/>
    <n v="869"/>
    <x v="153"/>
    <n v="4.4854272801904704"/>
  </r>
  <r>
    <x v="24"/>
    <x v="2"/>
    <s v="D05"/>
    <n v="6"/>
    <m/>
    <n v="24985"/>
    <n v="24985"/>
    <n v="23978"/>
    <s v="In Detection Range"/>
    <n v="23978"/>
    <x v="154"/>
    <n v="140.85244222652199"/>
  </r>
  <r>
    <x v="24"/>
    <x v="2"/>
    <s v="D06"/>
    <n v="6"/>
    <m/>
    <n v="22971"/>
    <n v="22971"/>
    <n v="23978"/>
    <s v="In Detection Range"/>
    <n v="23978"/>
    <x v="155"/>
    <n v="140.85244222652199"/>
  </r>
  <r>
    <x v="25"/>
    <x v="2"/>
    <s v="D07"/>
    <n v="6"/>
    <m/>
    <n v="2444"/>
    <n v="2444"/>
    <n v="2454"/>
    <s v="In Detection Range"/>
    <n v="2454"/>
    <x v="156"/>
    <n v="14.7491313371254"/>
  </r>
  <r>
    <x v="25"/>
    <x v="2"/>
    <s v="D08"/>
    <n v="6"/>
    <m/>
    <n v="2464"/>
    <n v="2464"/>
    <n v="2454"/>
    <s v="In Detection Range"/>
    <n v="2454"/>
    <x v="157"/>
    <n v="14.7491313371254"/>
  </r>
  <r>
    <x v="26"/>
    <x v="2"/>
    <s v="D09"/>
    <n v="6"/>
    <m/>
    <n v="9704"/>
    <n v="9704"/>
    <n v="9599"/>
    <s v="In Detection Range"/>
    <n v="9598.5"/>
    <x v="158"/>
    <n v="58.070049121331799"/>
  </r>
  <r>
    <x v="26"/>
    <x v="2"/>
    <s v="D10"/>
    <n v="6"/>
    <m/>
    <n v="9493"/>
    <n v="9493"/>
    <n v="9599"/>
    <s v="In Detection Range"/>
    <n v="9598.5"/>
    <x v="159"/>
    <n v="58.070049121331799"/>
  </r>
  <r>
    <x v="27"/>
    <x v="2"/>
    <s v="D11"/>
    <n v="6"/>
    <m/>
    <n v="7980"/>
    <n v="7980"/>
    <n v="7980"/>
    <s v="In Detection Range"/>
    <n v="7979.5"/>
    <x v="160"/>
    <n v="48.467490912534799"/>
  </r>
  <r>
    <x v="27"/>
    <x v="2"/>
    <s v="D12"/>
    <n v="6"/>
    <m/>
    <n v="7979"/>
    <n v="7979"/>
    <n v="7980"/>
    <s v="In Detection Range"/>
    <n v="7979.5"/>
    <x v="161"/>
    <n v="48.467490912534799"/>
  </r>
  <r>
    <x v="28"/>
    <x v="2"/>
    <s v="E03"/>
    <n v="6"/>
    <m/>
    <n v="2920"/>
    <n v="2920"/>
    <n v="2922"/>
    <s v="In Detection Range"/>
    <n v="2922"/>
    <x v="162"/>
    <n v="17.694570730063901"/>
  </r>
  <r>
    <x v="28"/>
    <x v="2"/>
    <s v="E04"/>
    <n v="6"/>
    <m/>
    <n v="2924"/>
    <n v="2924"/>
    <n v="2922"/>
    <s v="In Detection Range"/>
    <n v="2922"/>
    <x v="163"/>
    <n v="17.694570730063901"/>
  </r>
  <r>
    <x v="29"/>
    <x v="2"/>
    <s v="E06"/>
    <n v="6"/>
    <m/>
    <n v="3793"/>
    <n v="3793"/>
    <n v="3771"/>
    <s v="In Detection Range"/>
    <n v="3770.5"/>
    <x v="164"/>
    <n v="22.9752261101142"/>
  </r>
  <r>
    <x v="29"/>
    <x v="2"/>
    <s v="E05"/>
    <n v="6"/>
    <m/>
    <n v="3748"/>
    <n v="3748"/>
    <n v="3771"/>
    <s v="In Detection Range"/>
    <n v="3770.5"/>
    <x v="165"/>
    <n v="22.9752261101142"/>
  </r>
  <r>
    <x v="30"/>
    <x v="2"/>
    <s v="E08"/>
    <n v="6"/>
    <m/>
    <n v="11715"/>
    <n v="11715"/>
    <n v="11918"/>
    <s v="In Detection Range"/>
    <n v="11918"/>
    <x v="166"/>
    <n v="71.692974548992794"/>
  </r>
  <r>
    <x v="30"/>
    <x v="2"/>
    <s v="E07"/>
    <n v="6"/>
    <m/>
    <n v="12121"/>
    <n v="12121"/>
    <n v="11918"/>
    <s v="In Detection Range"/>
    <n v="11918"/>
    <x v="167"/>
    <n v="71.692974548992794"/>
  </r>
  <r>
    <x v="31"/>
    <x v="2"/>
    <s v="E09"/>
    <n v="6"/>
    <m/>
    <n v="13269"/>
    <n v="13269"/>
    <n v="12901"/>
    <s v="In Detection Range"/>
    <n v="12901"/>
    <x v="168"/>
    <n v="77.425169262883699"/>
  </r>
  <r>
    <x v="31"/>
    <x v="2"/>
    <s v="E10"/>
    <n v="6"/>
    <m/>
    <n v="12533"/>
    <n v="12533"/>
    <n v="12901"/>
    <s v="In Detection Range"/>
    <n v="12901"/>
    <x v="169"/>
    <n v="77.425169262883699"/>
  </r>
  <r>
    <x v="32"/>
    <x v="2"/>
    <s v="E12"/>
    <n v="6"/>
    <m/>
    <n v="45492"/>
    <n v="45492"/>
    <n v="44151"/>
    <s v="In Detection Range"/>
    <n v="44151"/>
    <x v="170"/>
    <n v="253.01955121044"/>
  </r>
  <r>
    <x v="32"/>
    <x v="2"/>
    <s v="E11"/>
    <n v="6"/>
    <m/>
    <n v="42810"/>
    <n v="42810"/>
    <n v="44151"/>
    <s v="In Detection Range"/>
    <n v="44151"/>
    <x v="171"/>
    <n v="253.01955121044"/>
  </r>
  <r>
    <x v="33"/>
    <x v="2"/>
    <s v="F03"/>
    <n v="6"/>
    <m/>
    <n v="567"/>
    <n v="567"/>
    <n v="566"/>
    <s v="In Detection Range"/>
    <n v="565.5"/>
    <x v="172"/>
    <n v="2.42078182771044"/>
  </r>
  <r>
    <x v="33"/>
    <x v="2"/>
    <s v="F04"/>
    <n v="6"/>
    <m/>
    <n v="564"/>
    <n v="564"/>
    <n v="566"/>
    <s v="In Detection Range"/>
    <n v="565.5"/>
    <x v="173"/>
    <n v="2.42078182771044"/>
  </r>
  <r>
    <x v="34"/>
    <x v="2"/>
    <s v="F06"/>
    <n v="6"/>
    <m/>
    <n v="10983"/>
    <n v="10983"/>
    <n v="11116"/>
    <s v="In Detection Range"/>
    <n v="11115.5"/>
    <x v="174"/>
    <n v="66.995849216314198"/>
  </r>
  <r>
    <x v="34"/>
    <x v="2"/>
    <s v="F05"/>
    <n v="6"/>
    <m/>
    <n v="11248"/>
    <n v="11248"/>
    <n v="11116"/>
    <s v="In Detection Range"/>
    <n v="11115.5"/>
    <x v="175"/>
    <n v="66.995849216314198"/>
  </r>
  <r>
    <x v="35"/>
    <x v="2"/>
    <s v="F08"/>
    <n v="6"/>
    <m/>
    <n v="1237"/>
    <n v="1237"/>
    <n v="1295"/>
    <s v="In Detection Range"/>
    <n v="1294.5"/>
    <x v="176"/>
    <n v="7.3028012985800697"/>
  </r>
  <r>
    <x v="35"/>
    <x v="2"/>
    <s v="F07"/>
    <n v="6"/>
    <m/>
    <n v="1352"/>
    <n v="1352"/>
    <n v="1295"/>
    <s v="In Detection Range"/>
    <n v="1294.5"/>
    <x v="177"/>
    <n v="7.3028012985800697"/>
  </r>
  <r>
    <x v="36"/>
    <x v="2"/>
    <s v="F09"/>
    <n v="6"/>
    <m/>
    <n v="32195"/>
    <n v="32195"/>
    <n v="32589"/>
    <s v="In Detection Range"/>
    <n v="32588.5"/>
    <x v="178"/>
    <n v="189.134638474936"/>
  </r>
  <r>
    <x v="36"/>
    <x v="2"/>
    <s v="F10"/>
    <n v="6"/>
    <m/>
    <n v="32982"/>
    <n v="32982"/>
    <n v="32589"/>
    <s v="In Detection Range"/>
    <n v="32588.5"/>
    <x v="179"/>
    <n v="189.134638474936"/>
  </r>
  <r>
    <x v="37"/>
    <x v="2"/>
    <s v="F11"/>
    <n v="6"/>
    <m/>
    <n v="301"/>
    <n v="301"/>
    <n v="302"/>
    <s v="In Detection Range"/>
    <n v="301.5"/>
    <x v="180"/>
    <n v="0.54184527253005299"/>
  </r>
  <r>
    <x v="37"/>
    <x v="2"/>
    <s v="F12"/>
    <n v="6"/>
    <m/>
    <n v="302"/>
    <n v="302"/>
    <n v="302"/>
    <s v="In Detection Range"/>
    <n v="301.5"/>
    <x v="181"/>
    <n v="0.54184527253005299"/>
  </r>
  <r>
    <x v="38"/>
    <x v="2"/>
    <s v="G04"/>
    <n v="6"/>
    <m/>
    <n v="856"/>
    <n v="856"/>
    <n v="836"/>
    <s v="In Detection Range"/>
    <n v="835.5"/>
    <x v="182"/>
    <n v="4.2603343187674501"/>
  </r>
  <r>
    <x v="38"/>
    <x v="2"/>
    <s v="G03"/>
    <n v="6"/>
    <m/>
    <n v="815"/>
    <n v="815"/>
    <n v="836"/>
    <s v="In Detection Range"/>
    <n v="835.5"/>
    <x v="183"/>
    <n v="4.2603343187674501"/>
  </r>
  <r>
    <x v="39"/>
    <x v="2"/>
    <s v="G06"/>
    <n v="6"/>
    <m/>
    <n v="15968"/>
    <n v="15968"/>
    <n v="12966"/>
    <s v="In Detection Range"/>
    <n v="12966"/>
    <x v="184"/>
    <n v="77.706175732442006"/>
  </r>
  <r>
    <x v="39"/>
    <x v="2"/>
    <s v="G05"/>
    <n v="6"/>
    <m/>
    <n v="9964"/>
    <n v="9964"/>
    <n v="12966"/>
    <s v="In Detection Range"/>
    <n v="12966"/>
    <x v="185"/>
    <n v="77.706175732442006"/>
  </r>
  <r>
    <x v="40"/>
    <x v="2"/>
    <s v="G08"/>
    <n v="6"/>
    <m/>
    <n v="3843"/>
    <n v="3843"/>
    <n v="3833"/>
    <s v="In Detection Range"/>
    <n v="3833"/>
    <x v="186"/>
    <n v="23.361640197347899"/>
  </r>
  <r>
    <x v="40"/>
    <x v="2"/>
    <s v="G07"/>
    <n v="6"/>
    <m/>
    <n v="3823"/>
    <n v="3823"/>
    <n v="3833"/>
    <s v="In Detection Range"/>
    <n v="3833"/>
    <x v="187"/>
    <n v="23.361640197347899"/>
  </r>
  <r>
    <x v="41"/>
    <x v="2"/>
    <s v="G09"/>
    <n v="6"/>
    <m/>
    <n v="325"/>
    <n v="325"/>
    <n v="330"/>
    <s v="In Detection Range"/>
    <n v="329.5"/>
    <x v="188"/>
    <n v="0.74881161681581099"/>
  </r>
  <r>
    <x v="41"/>
    <x v="2"/>
    <s v="G10"/>
    <n v="6"/>
    <m/>
    <n v="334"/>
    <n v="334"/>
    <n v="330"/>
    <s v="In Detection Range"/>
    <n v="329.5"/>
    <x v="189"/>
    <n v="0.74881161681581099"/>
  </r>
  <r>
    <x v="42"/>
    <x v="2"/>
    <s v="G12"/>
    <n v="6"/>
    <m/>
    <n v="327"/>
    <n v="327"/>
    <n v="327"/>
    <s v="In Detection Range"/>
    <n v="326.5"/>
    <x v="190"/>
    <n v="0.72682084165392602"/>
  </r>
  <r>
    <x v="42"/>
    <x v="2"/>
    <s v="G11"/>
    <n v="6"/>
    <m/>
    <n v="326"/>
    <n v="326"/>
    <n v="327"/>
    <s v="In Detection Range"/>
    <n v="326.5"/>
    <x v="191"/>
    <n v="0.72682084165392602"/>
  </r>
  <r>
    <x v="43"/>
    <x v="2"/>
    <s v="H04"/>
    <n v="6"/>
    <m/>
    <n v="7401"/>
    <n v="7401"/>
    <n v="7696"/>
    <s v="In Detection Range"/>
    <n v="7695.5"/>
    <x v="192"/>
    <n v="46.772024415326499"/>
  </r>
  <r>
    <x v="43"/>
    <x v="2"/>
    <s v="H03"/>
    <n v="6"/>
    <m/>
    <n v="7990"/>
    <n v="7990"/>
    <n v="7696"/>
    <s v="In Detection Range"/>
    <n v="7695.5"/>
    <x v="193"/>
    <n v="46.772024415326499"/>
  </r>
  <r>
    <x v="44"/>
    <x v="2"/>
    <s v="H05"/>
    <n v="6"/>
    <m/>
    <n v="11392"/>
    <n v="11392"/>
    <n v="11102"/>
    <s v="In Detection Range"/>
    <n v="11101.5"/>
    <x v="194"/>
    <n v="66.912901537906706"/>
  </r>
  <r>
    <x v="44"/>
    <x v="2"/>
    <s v="H06"/>
    <n v="6"/>
    <m/>
    <n v="10811"/>
    <n v="10811"/>
    <n v="11102"/>
    <s v="In Detection Range"/>
    <n v="11101.5"/>
    <x v="195"/>
    <n v="66.912901537906706"/>
  </r>
  <r>
    <x v="45"/>
    <x v="2"/>
    <s v="H07"/>
    <n v="6"/>
    <m/>
    <n v="22969"/>
    <n v="22969"/>
    <n v="24821"/>
    <s v="In Detection Range"/>
    <n v="24820.5"/>
    <x v="196"/>
    <n v="145.59580579873801"/>
  </r>
  <r>
    <x v="45"/>
    <x v="2"/>
    <s v="H08"/>
    <n v="6"/>
    <m/>
    <n v="26672"/>
    <n v="26672"/>
    <n v="24821"/>
    <s v="In Detection Range"/>
    <n v="24820.5"/>
    <x v="197"/>
    <n v="145.59580579873801"/>
  </r>
  <r>
    <x v="46"/>
    <x v="2"/>
    <s v="H09"/>
    <n v="6"/>
    <m/>
    <n v="338"/>
    <n v="338"/>
    <n v="347"/>
    <s v="In Detection Range"/>
    <n v="347"/>
    <x v="198"/>
    <n v="0.87660178626812002"/>
  </r>
  <r>
    <x v="46"/>
    <x v="2"/>
    <s v="H10"/>
    <n v="6"/>
    <m/>
    <n v="356"/>
    <n v="356"/>
    <n v="347"/>
    <s v="In Detection Range"/>
    <n v="347"/>
    <x v="199"/>
    <n v="0.87660178626812002"/>
  </r>
  <r>
    <x v="47"/>
    <x v="2"/>
    <s v="H12"/>
    <n v="6"/>
    <m/>
    <n v="384"/>
    <n v="384"/>
    <n v="395"/>
    <s v="In Detection Range"/>
    <n v="394.5"/>
    <x v="200"/>
    <n v="1.2193818588754499"/>
  </r>
  <r>
    <x v="47"/>
    <x v="2"/>
    <s v="H11"/>
    <n v="6"/>
    <m/>
    <n v="405"/>
    <n v="405"/>
    <n v="395"/>
    <s v="In Detection Range"/>
    <n v="394.5"/>
    <x v="201"/>
    <n v="1.2193818588754499"/>
  </r>
  <r>
    <x v="0"/>
    <x v="3"/>
    <s v="A02"/>
    <n v="7"/>
    <n v="2320"/>
    <n v="2342819"/>
    <n v="2342819"/>
    <n v="2358556"/>
    <s v="In Detection Range"/>
    <n v="2358556"/>
    <x v="202"/>
    <n v="2268.6068610850498"/>
  </r>
  <r>
    <x v="0"/>
    <x v="3"/>
    <s v="A01"/>
    <n v="7"/>
    <n v="2320"/>
    <n v="2374293"/>
    <n v="2374293"/>
    <n v="2358556"/>
    <s v="In Detection Range"/>
    <n v="2358556"/>
    <x v="203"/>
    <n v="2268.6068610850498"/>
  </r>
  <r>
    <x v="1"/>
    <x v="3"/>
    <s v="B02"/>
    <n v="7"/>
    <n v="580"/>
    <n v="665172"/>
    <n v="665172"/>
    <n v="666074"/>
    <s v="In Detection Range"/>
    <n v="666073.5"/>
    <x v="204"/>
    <n v="636.31971041011604"/>
  </r>
  <r>
    <x v="1"/>
    <x v="3"/>
    <s v="B01"/>
    <n v="7"/>
    <n v="580"/>
    <n v="666975"/>
    <n v="666975"/>
    <n v="666074"/>
    <s v="In Detection Range"/>
    <n v="666073.5"/>
    <x v="205"/>
    <n v="636.31971041011604"/>
  </r>
  <r>
    <x v="2"/>
    <x v="3"/>
    <s v="C02"/>
    <n v="7"/>
    <n v="145"/>
    <n v="132756"/>
    <n v="132756"/>
    <n v="137683"/>
    <s v="In Detection Range"/>
    <n v="137682.5"/>
    <x v="206"/>
    <n v="147.63981682685099"/>
  </r>
  <r>
    <x v="2"/>
    <x v="3"/>
    <s v="C01"/>
    <n v="7"/>
    <n v="145"/>
    <n v="142609"/>
    <n v="142609"/>
    <n v="137683"/>
    <s v="In Detection Range"/>
    <n v="137682.5"/>
    <x v="207"/>
    <n v="147.63981682685099"/>
  </r>
  <r>
    <x v="3"/>
    <x v="3"/>
    <s v="D01"/>
    <n v="7"/>
    <n v="36.25"/>
    <n v="27302"/>
    <n v="27302"/>
    <n v="27152"/>
    <s v="In Detection Range"/>
    <n v="27152"/>
    <x v="208"/>
    <n v="33.682484254445903"/>
  </r>
  <r>
    <x v="3"/>
    <x v="3"/>
    <s v="D02"/>
    <n v="7"/>
    <n v="36.25"/>
    <n v="27002"/>
    <n v="27002"/>
    <n v="27152"/>
    <s v="In Detection Range"/>
    <n v="27152"/>
    <x v="209"/>
    <n v="33.682484254445903"/>
  </r>
  <r>
    <x v="4"/>
    <x v="3"/>
    <s v="E02"/>
    <n v="7"/>
    <n v="9.0625"/>
    <n v="5988"/>
    <n v="5988"/>
    <n v="6122"/>
    <s v="In Detection Range"/>
    <n v="6122"/>
    <x v="210"/>
    <n v="8.5843117981561701"/>
  </r>
  <r>
    <x v="4"/>
    <x v="3"/>
    <s v="E01"/>
    <n v="7"/>
    <n v="9.0625"/>
    <n v="6256"/>
    <n v="6256"/>
    <n v="6122"/>
    <s v="In Detection Range"/>
    <n v="6122"/>
    <x v="211"/>
    <n v="8.5843117981561701"/>
  </r>
  <r>
    <x v="5"/>
    <x v="3"/>
    <s v="F01"/>
    <n v="7"/>
    <n v="2.265625"/>
    <n v="1547"/>
    <n v="1547"/>
    <n v="1574"/>
    <s v="In Detection Range"/>
    <n v="1574"/>
    <x v="212"/>
    <n v="2.3174476981596799"/>
  </r>
  <r>
    <x v="5"/>
    <x v="3"/>
    <s v="F02"/>
    <n v="7"/>
    <n v="2.265625"/>
    <n v="1601"/>
    <n v="1601"/>
    <n v="1574"/>
    <s v="In Detection Range"/>
    <n v="1574"/>
    <x v="213"/>
    <n v="2.3174476981596799"/>
  </r>
  <r>
    <x v="6"/>
    <x v="3"/>
    <s v="G02"/>
    <n v="7"/>
    <n v="0.56640625"/>
    <n v="508"/>
    <n v="508"/>
    <n v="521"/>
    <s v="In Detection Range"/>
    <n v="520.5"/>
    <x v="214"/>
    <n v="0.64807840974617503"/>
  </r>
  <r>
    <x v="6"/>
    <x v="3"/>
    <s v="G01"/>
    <n v="7"/>
    <n v="0.56640625"/>
    <n v="533"/>
    <n v="533"/>
    <n v="521"/>
    <s v="In Detection Range"/>
    <n v="520.5"/>
    <x v="215"/>
    <n v="0.64807840974617503"/>
  </r>
  <r>
    <x v="7"/>
    <x v="3"/>
    <s v="H01"/>
    <n v="7"/>
    <n v="0"/>
    <n v="180"/>
    <n v="180"/>
    <n v="176"/>
    <s v="Below Fit Curve Range"/>
    <n v="175.5"/>
    <x v="14"/>
    <s v="NaN"/>
  </r>
  <r>
    <x v="7"/>
    <x v="3"/>
    <s v="H02"/>
    <n v="7"/>
    <n v="0"/>
    <n v="171"/>
    <n v="171"/>
    <n v="176"/>
    <s v="Below Fit Curve Range"/>
    <n v="175.5"/>
    <x v="14"/>
    <s v="NaN"/>
  </r>
  <r>
    <x v="8"/>
    <x v="3"/>
    <s v="A03"/>
    <n v="7"/>
    <m/>
    <n v="92099"/>
    <n v="92099"/>
    <n v="90901"/>
    <s v="In Detection Range"/>
    <n v="90901"/>
    <x v="216"/>
    <n v="101.113255049107"/>
  </r>
  <r>
    <x v="8"/>
    <x v="3"/>
    <s v="A04"/>
    <n v="7"/>
    <m/>
    <n v="89703"/>
    <n v="89703"/>
    <n v="90901"/>
    <s v="In Detection Range"/>
    <n v="90901"/>
    <x v="217"/>
    <n v="101.113255049107"/>
  </r>
  <r>
    <x v="9"/>
    <x v="3"/>
    <s v="A05"/>
    <n v="7"/>
    <m/>
    <n v="4603"/>
    <n v="4603"/>
    <n v="4493"/>
    <s v="In Detection Range"/>
    <n v="4493"/>
    <x v="218"/>
    <n v="6.4272599931804102"/>
  </r>
  <r>
    <x v="9"/>
    <x v="3"/>
    <s v="A06"/>
    <n v="7"/>
    <m/>
    <n v="4383"/>
    <n v="4383"/>
    <n v="4493"/>
    <s v="In Detection Range"/>
    <n v="4493"/>
    <x v="219"/>
    <n v="6.4272599931804102"/>
  </r>
  <r>
    <x v="10"/>
    <x v="3"/>
    <s v="A08"/>
    <n v="7"/>
    <m/>
    <n v="33918"/>
    <n v="33918"/>
    <n v="35863"/>
    <s v="In Detection Range"/>
    <n v="35862.5"/>
    <x v="220"/>
    <n v="43.3831553290158"/>
  </r>
  <r>
    <x v="10"/>
    <x v="3"/>
    <s v="A07"/>
    <n v="7"/>
    <m/>
    <n v="37807"/>
    <n v="37807"/>
    <n v="35863"/>
    <s v="In Detection Range"/>
    <n v="35862.5"/>
    <x v="221"/>
    <n v="43.3831553290158"/>
  </r>
  <r>
    <x v="11"/>
    <x v="3"/>
    <s v="A09"/>
    <n v="7"/>
    <m/>
    <n v="2379"/>
    <n v="2379"/>
    <n v="2561"/>
    <s v="In Detection Range"/>
    <n v="2560.5"/>
    <x v="222"/>
    <n v="3.7568199268076201"/>
  </r>
  <r>
    <x v="11"/>
    <x v="3"/>
    <s v="A10"/>
    <n v="7"/>
    <m/>
    <n v="2742"/>
    <n v="2742"/>
    <n v="2561"/>
    <s v="In Detection Range"/>
    <n v="2560.5"/>
    <x v="223"/>
    <n v="3.7568199268076201"/>
  </r>
  <r>
    <x v="12"/>
    <x v="3"/>
    <s v="A12"/>
    <n v="7"/>
    <m/>
    <n v="267"/>
    <n v="267"/>
    <n v="279"/>
    <s v="In Detection Range"/>
    <n v="279"/>
    <x v="224"/>
    <n v="0.21114363138098799"/>
  </r>
  <r>
    <x v="12"/>
    <x v="3"/>
    <s v="A11"/>
    <n v="7"/>
    <m/>
    <n v="291"/>
    <n v="291"/>
    <n v="279"/>
    <s v="In Detection Range"/>
    <n v="279"/>
    <x v="225"/>
    <n v="0.21114363138098799"/>
  </r>
  <r>
    <x v="13"/>
    <x v="3"/>
    <s v="B03"/>
    <n v="7"/>
    <m/>
    <n v="165795"/>
    <n v="165795"/>
    <n v="166761"/>
    <s v="In Detection Range"/>
    <n v="166760.5"/>
    <x v="226"/>
    <n v="175.91080319996601"/>
  </r>
  <r>
    <x v="13"/>
    <x v="3"/>
    <s v="B04"/>
    <n v="7"/>
    <m/>
    <n v="167726"/>
    <n v="167726"/>
    <n v="166761"/>
    <s v="In Detection Range"/>
    <n v="166760.5"/>
    <x v="227"/>
    <n v="175.91080319996601"/>
  </r>
  <r>
    <x v="14"/>
    <x v="3"/>
    <s v="B05"/>
    <n v="7"/>
    <m/>
    <n v="206207"/>
    <n v="206207"/>
    <n v="206540"/>
    <s v="In Detection Range"/>
    <n v="206539.5"/>
    <x v="228"/>
    <n v="214.007205925243"/>
  </r>
  <r>
    <x v="14"/>
    <x v="3"/>
    <s v="B06"/>
    <n v="7"/>
    <m/>
    <n v="206872"/>
    <n v="206872"/>
    <n v="206540"/>
    <s v="In Detection Range"/>
    <n v="206539.5"/>
    <x v="229"/>
    <n v="214.007205925243"/>
  </r>
  <r>
    <x v="15"/>
    <x v="3"/>
    <s v="B08"/>
    <n v="7"/>
    <m/>
    <n v="8546"/>
    <n v="8546"/>
    <n v="10200"/>
    <s v="In Detection Range"/>
    <n v="10200"/>
    <x v="230"/>
    <n v="13.7463192644672"/>
  </r>
  <r>
    <x v="15"/>
    <x v="3"/>
    <s v="B07"/>
    <n v="7"/>
    <m/>
    <n v="11854"/>
    <n v="11854"/>
    <n v="10200"/>
    <s v="In Detection Range"/>
    <n v="10200"/>
    <x v="231"/>
    <n v="13.7463192644672"/>
  </r>
  <r>
    <x v="16"/>
    <x v="3"/>
    <s v="B09"/>
    <n v="7"/>
    <m/>
    <n v="7725"/>
    <n v="7725"/>
    <n v="7777"/>
    <s v="In Detection Range"/>
    <n v="7776.5"/>
    <x v="232"/>
    <n v="10.716953585173799"/>
  </r>
  <r>
    <x v="16"/>
    <x v="3"/>
    <s v="B10"/>
    <n v="7"/>
    <m/>
    <n v="7828"/>
    <n v="7828"/>
    <n v="7777"/>
    <s v="In Detection Range"/>
    <n v="7776.5"/>
    <x v="233"/>
    <n v="10.716953585173799"/>
  </r>
  <r>
    <x v="17"/>
    <x v="3"/>
    <s v="B11"/>
    <n v="7"/>
    <m/>
    <n v="297804"/>
    <n v="297804"/>
    <n v="296719"/>
    <s v="In Detection Range"/>
    <n v="296719"/>
    <x v="234"/>
    <n v="298.72047744414499"/>
  </r>
  <r>
    <x v="17"/>
    <x v="3"/>
    <s v="B12"/>
    <n v="7"/>
    <m/>
    <n v="295634"/>
    <n v="295634"/>
    <n v="296719"/>
    <s v="In Detection Range"/>
    <n v="296719"/>
    <x v="235"/>
    <n v="298.72047744414499"/>
  </r>
  <r>
    <x v="18"/>
    <x v="3"/>
    <s v="C03"/>
    <n v="7"/>
    <m/>
    <n v="81097"/>
    <n v="81097"/>
    <n v="78093"/>
    <s v="In Detection Range"/>
    <n v="78093"/>
    <x v="236"/>
    <n v="88.052599237155604"/>
  </r>
  <r>
    <x v="18"/>
    <x v="3"/>
    <s v="C04"/>
    <n v="7"/>
    <m/>
    <n v="75089"/>
    <n v="75089"/>
    <n v="78093"/>
    <s v="In Detection Range"/>
    <n v="78093"/>
    <x v="237"/>
    <n v="88.052599237155604"/>
  </r>
  <r>
    <x v="19"/>
    <x v="3"/>
    <s v="C06"/>
    <n v="7"/>
    <m/>
    <n v="695447"/>
    <n v="695447"/>
    <n v="709399"/>
    <s v="In Detection Range"/>
    <n v="709398.5"/>
    <x v="238"/>
    <n v="675.66605861951098"/>
  </r>
  <r>
    <x v="19"/>
    <x v="3"/>
    <s v="C05"/>
    <n v="7"/>
    <m/>
    <n v="723350"/>
    <n v="723350"/>
    <n v="709399"/>
    <s v="In Detection Range"/>
    <n v="709398.5"/>
    <x v="239"/>
    <n v="675.66605861951098"/>
  </r>
  <r>
    <x v="20"/>
    <x v="3"/>
    <s v="C08"/>
    <n v="7"/>
    <m/>
    <n v="280373"/>
    <n v="280373"/>
    <n v="263912"/>
    <s v="In Detection Range"/>
    <n v="263911.5"/>
    <x v="240"/>
    <n v="268.08295208943798"/>
  </r>
  <r>
    <x v="20"/>
    <x v="3"/>
    <s v="C07"/>
    <n v="7"/>
    <m/>
    <n v="247450"/>
    <n v="247450"/>
    <n v="263912"/>
    <s v="In Detection Range"/>
    <n v="263911.5"/>
    <x v="241"/>
    <n v="268.08295208943798"/>
  </r>
  <r>
    <x v="21"/>
    <x v="3"/>
    <s v="C09"/>
    <n v="7"/>
    <m/>
    <n v="156551"/>
    <n v="156551"/>
    <n v="168357"/>
    <s v="In Detection Range"/>
    <n v="168357"/>
    <x v="242"/>
    <n v="177.42234115760101"/>
  </r>
  <r>
    <x v="21"/>
    <x v="3"/>
    <s v="C10"/>
    <n v="7"/>
    <m/>
    <n v="180163"/>
    <n v="180163"/>
    <n v="168357"/>
    <s v="In Detection Range"/>
    <n v="168357"/>
    <x v="243"/>
    <n v="177.42234115760101"/>
  </r>
  <r>
    <x v="22"/>
    <x v="3"/>
    <s v="C12"/>
    <n v="7"/>
    <m/>
    <n v="652609"/>
    <n v="652609"/>
    <n v="647022"/>
    <s v="In Detection Range"/>
    <n v="647022"/>
    <x v="244"/>
    <n v="619.02157423532196"/>
  </r>
  <r>
    <x v="22"/>
    <x v="3"/>
    <s v="C11"/>
    <n v="7"/>
    <m/>
    <n v="641435"/>
    <n v="641435"/>
    <n v="647022"/>
    <s v="In Detection Range"/>
    <n v="647022"/>
    <x v="245"/>
    <n v="619.02157423532196"/>
  </r>
  <r>
    <x v="23"/>
    <x v="3"/>
    <s v="D03"/>
    <n v="7"/>
    <m/>
    <n v="11964"/>
    <n v="11964"/>
    <n v="12198"/>
    <s v="In Detection Range"/>
    <n v="12197.5"/>
    <x v="246"/>
    <n v="16.218878275513902"/>
  </r>
  <r>
    <x v="23"/>
    <x v="3"/>
    <s v="D04"/>
    <n v="7"/>
    <m/>
    <n v="12431"/>
    <n v="12431"/>
    <n v="12198"/>
    <s v="In Detection Range"/>
    <n v="12197.5"/>
    <x v="247"/>
    <n v="16.218878275513902"/>
  </r>
  <r>
    <x v="24"/>
    <x v="3"/>
    <s v="D05"/>
    <n v="7"/>
    <m/>
    <n v="162609"/>
    <n v="162609"/>
    <n v="147520"/>
    <s v="In Detection Range"/>
    <n v="147519.5"/>
    <x v="248"/>
    <n v="157.197263618992"/>
  </r>
  <r>
    <x v="24"/>
    <x v="3"/>
    <s v="D06"/>
    <n v="7"/>
    <m/>
    <n v="132430"/>
    <n v="132430"/>
    <n v="147520"/>
    <s v="In Detection Range"/>
    <n v="147519.5"/>
    <x v="249"/>
    <n v="157.197263618992"/>
  </r>
  <r>
    <x v="25"/>
    <x v="3"/>
    <s v="D07"/>
    <n v="7"/>
    <m/>
    <n v="82878"/>
    <n v="82878"/>
    <n v="81147"/>
    <s v="In Detection Range"/>
    <n v="81146.5"/>
    <x v="250"/>
    <n v="91.184389015244193"/>
  </r>
  <r>
    <x v="25"/>
    <x v="3"/>
    <s v="D08"/>
    <n v="7"/>
    <m/>
    <n v="79415"/>
    <n v="79415"/>
    <n v="81147"/>
    <s v="In Detection Range"/>
    <n v="81146.5"/>
    <x v="251"/>
    <n v="91.184389015244193"/>
  </r>
  <r>
    <x v="26"/>
    <x v="3"/>
    <s v="D09"/>
    <n v="7"/>
    <m/>
    <n v="242984"/>
    <n v="242984"/>
    <n v="243011"/>
    <s v="In Detection Range"/>
    <n v="243010.5"/>
    <x v="252"/>
    <n v="248.49607526936401"/>
  </r>
  <r>
    <x v="26"/>
    <x v="3"/>
    <s v="D10"/>
    <n v="7"/>
    <m/>
    <n v="243037"/>
    <n v="243037"/>
    <n v="243011"/>
    <s v="In Detection Range"/>
    <n v="243010.5"/>
    <x v="253"/>
    <n v="248.49607526936401"/>
  </r>
  <r>
    <x v="27"/>
    <x v="3"/>
    <s v="D11"/>
    <n v="7"/>
    <m/>
    <n v="39432"/>
    <n v="39432"/>
    <n v="38954"/>
    <s v="In Detection Range"/>
    <n v="38953.5"/>
    <x v="254"/>
    <n v="46.776928851624596"/>
  </r>
  <r>
    <x v="27"/>
    <x v="3"/>
    <s v="D12"/>
    <n v="7"/>
    <m/>
    <n v="38475"/>
    <n v="38475"/>
    <n v="38954"/>
    <s v="In Detection Range"/>
    <n v="38953.5"/>
    <x v="255"/>
    <n v="46.776928851624596"/>
  </r>
  <r>
    <x v="28"/>
    <x v="3"/>
    <s v="E03"/>
    <n v="7"/>
    <m/>
    <n v="26594"/>
    <n v="26594"/>
    <n v="26156"/>
    <s v="In Detection Range"/>
    <n v="26156"/>
    <x v="256"/>
    <n v="32.555132862132403"/>
  </r>
  <r>
    <x v="28"/>
    <x v="3"/>
    <s v="E04"/>
    <n v="7"/>
    <m/>
    <n v="25718"/>
    <n v="25718"/>
    <n v="26156"/>
    <s v="In Detection Range"/>
    <n v="26156"/>
    <x v="257"/>
    <n v="32.555132862132403"/>
  </r>
  <r>
    <x v="29"/>
    <x v="3"/>
    <s v="E06"/>
    <n v="7"/>
    <m/>
    <n v="22443"/>
    <n v="22443"/>
    <n v="22577"/>
    <s v="In Detection Range"/>
    <n v="22576.5"/>
    <x v="258"/>
    <n v="28.4703445467661"/>
  </r>
  <r>
    <x v="29"/>
    <x v="3"/>
    <s v="E05"/>
    <n v="7"/>
    <m/>
    <n v="22710"/>
    <n v="22710"/>
    <n v="22577"/>
    <s v="In Detection Range"/>
    <n v="22576.5"/>
    <x v="259"/>
    <n v="28.4703445467661"/>
  </r>
  <r>
    <x v="30"/>
    <x v="3"/>
    <s v="E08"/>
    <n v="7"/>
    <m/>
    <n v="126186"/>
    <n v="126186"/>
    <n v="127589"/>
    <s v="In Detection Range"/>
    <n v="127588.5"/>
    <x v="260"/>
    <n v="137.731124493149"/>
  </r>
  <r>
    <x v="30"/>
    <x v="3"/>
    <s v="E07"/>
    <n v="7"/>
    <m/>
    <n v="128991"/>
    <n v="128991"/>
    <n v="127589"/>
    <s v="In Detection Range"/>
    <n v="127588.5"/>
    <x v="261"/>
    <n v="137.731124493149"/>
  </r>
  <r>
    <x v="31"/>
    <x v="3"/>
    <s v="E09"/>
    <n v="7"/>
    <m/>
    <n v="67581"/>
    <n v="67581"/>
    <n v="63267"/>
    <s v="In Detection Range"/>
    <n v="63267"/>
    <x v="262"/>
    <n v="72.694241678455995"/>
  </r>
  <r>
    <x v="31"/>
    <x v="3"/>
    <s v="E10"/>
    <n v="7"/>
    <m/>
    <n v="58953"/>
    <n v="58953"/>
    <n v="63267"/>
    <s v="In Detection Range"/>
    <n v="63267"/>
    <x v="263"/>
    <n v="72.694241678455995"/>
  </r>
  <r>
    <x v="32"/>
    <x v="3"/>
    <s v="E12"/>
    <n v="7"/>
    <m/>
    <n v="168723"/>
    <n v="168723"/>
    <n v="154957"/>
    <s v="In Detection Range"/>
    <n v="154956.5"/>
    <x v="264"/>
    <n v="164.44143310799799"/>
  </r>
  <r>
    <x v="32"/>
    <x v="3"/>
    <s v="E11"/>
    <n v="7"/>
    <m/>
    <n v="141190"/>
    <n v="141190"/>
    <n v="154957"/>
    <s v="In Detection Range"/>
    <n v="154956.5"/>
    <x v="265"/>
    <n v="164.44143310799799"/>
  </r>
  <r>
    <x v="33"/>
    <x v="3"/>
    <s v="F03"/>
    <n v="7"/>
    <m/>
    <n v="8232"/>
    <n v="8232"/>
    <n v="8138"/>
    <s v="In Detection Range"/>
    <n v="8137.5"/>
    <x v="266"/>
    <n v="11.175900164332299"/>
  </r>
  <r>
    <x v="33"/>
    <x v="3"/>
    <s v="F04"/>
    <n v="7"/>
    <m/>
    <n v="8043"/>
    <n v="8043"/>
    <n v="8138"/>
    <s v="In Detection Range"/>
    <n v="8137.5"/>
    <x v="267"/>
    <n v="11.175900164332299"/>
  </r>
  <r>
    <x v="34"/>
    <x v="3"/>
    <s v="F06"/>
    <n v="7"/>
    <m/>
    <n v="89654"/>
    <n v="89654"/>
    <n v="92111"/>
    <s v="In Detection Range"/>
    <n v="92110.5"/>
    <x v="268"/>
    <n v="102.33564082896601"/>
  </r>
  <r>
    <x v="34"/>
    <x v="3"/>
    <s v="F05"/>
    <n v="7"/>
    <m/>
    <n v="94567"/>
    <n v="94567"/>
    <n v="92111"/>
    <s v="In Detection Range"/>
    <n v="92110.5"/>
    <x v="269"/>
    <n v="102.33564082896601"/>
  </r>
  <r>
    <x v="35"/>
    <x v="3"/>
    <s v="F08"/>
    <n v="7"/>
    <m/>
    <n v="11819"/>
    <n v="11819"/>
    <n v="12797"/>
    <s v="In Detection Range"/>
    <n v="12797"/>
    <x v="270"/>
    <n v="16.944078862853299"/>
  </r>
  <r>
    <x v="35"/>
    <x v="3"/>
    <s v="F07"/>
    <n v="7"/>
    <m/>
    <n v="13775"/>
    <n v="13775"/>
    <n v="12797"/>
    <s v="In Detection Range"/>
    <n v="12797"/>
    <x v="271"/>
    <n v="16.944078862853299"/>
  </r>
  <r>
    <x v="36"/>
    <x v="3"/>
    <s v="F09"/>
    <n v="7"/>
    <m/>
    <n v="43049"/>
    <n v="43049"/>
    <n v="44488"/>
    <s v="In Detection Range"/>
    <n v="44487.5"/>
    <x v="272"/>
    <n v="52.781506426970502"/>
  </r>
  <r>
    <x v="36"/>
    <x v="3"/>
    <s v="F10"/>
    <n v="7"/>
    <m/>
    <n v="45926"/>
    <n v="45926"/>
    <n v="44488"/>
    <s v="In Detection Range"/>
    <n v="44487.5"/>
    <x v="273"/>
    <n v="52.781506426970502"/>
  </r>
  <r>
    <x v="37"/>
    <x v="3"/>
    <s v="F11"/>
    <n v="7"/>
    <m/>
    <n v="612"/>
    <n v="612"/>
    <n v="620"/>
    <s v="In Detection Range"/>
    <n v="619.5"/>
    <x v="274"/>
    <n v="0.81645928521633104"/>
  </r>
  <r>
    <x v="37"/>
    <x v="3"/>
    <s v="F12"/>
    <n v="7"/>
    <m/>
    <n v="627"/>
    <n v="627"/>
    <n v="620"/>
    <s v="In Detection Range"/>
    <n v="619.5"/>
    <x v="275"/>
    <n v="0.81645928521633104"/>
  </r>
  <r>
    <x v="38"/>
    <x v="3"/>
    <s v="G04"/>
    <n v="7"/>
    <m/>
    <n v="8772"/>
    <n v="8772"/>
    <n v="8192"/>
    <s v="In Detection Range"/>
    <n v="8192"/>
    <x v="276"/>
    <n v="11.242523071843801"/>
  </r>
  <r>
    <x v="38"/>
    <x v="3"/>
    <s v="G03"/>
    <n v="7"/>
    <m/>
    <n v="7612"/>
    <n v="7612"/>
    <n v="8192"/>
    <s v="In Detection Range"/>
    <n v="8192"/>
    <x v="277"/>
    <n v="11.242523071843801"/>
  </r>
  <r>
    <x v="39"/>
    <x v="3"/>
    <s v="G06"/>
    <n v="7"/>
    <m/>
    <n v="33082"/>
    <n v="33082"/>
    <n v="24484"/>
    <s v="In Detection Range"/>
    <n v="24484"/>
    <x v="278"/>
    <n v="30.487290576607801"/>
  </r>
  <r>
    <x v="39"/>
    <x v="3"/>
    <s v="G05"/>
    <n v="7"/>
    <m/>
    <n v="15886"/>
    <n v="15886"/>
    <n v="24484"/>
    <s v="In Detection Range"/>
    <n v="24484"/>
    <x v="279"/>
    <n v="30.487290576607801"/>
  </r>
  <r>
    <x v="40"/>
    <x v="3"/>
    <s v="G08"/>
    <n v="7"/>
    <m/>
    <n v="32078"/>
    <n v="32078"/>
    <n v="32398"/>
    <s v="In Detection Range"/>
    <n v="32397.5"/>
    <x v="280"/>
    <n v="39.5571674877989"/>
  </r>
  <r>
    <x v="40"/>
    <x v="3"/>
    <s v="G07"/>
    <n v="7"/>
    <m/>
    <n v="32717"/>
    <n v="32717"/>
    <n v="32398"/>
    <s v="In Detection Range"/>
    <n v="32397.5"/>
    <x v="281"/>
    <n v="39.5571674877989"/>
  </r>
  <r>
    <x v="41"/>
    <x v="3"/>
    <s v="G09"/>
    <n v="7"/>
    <m/>
    <n v="278"/>
    <n v="278"/>
    <n v="270"/>
    <s v="In Detection Range"/>
    <n v="270"/>
    <x v="282"/>
    <n v="0.193637462342056"/>
  </r>
  <r>
    <x v="41"/>
    <x v="3"/>
    <s v="G10"/>
    <n v="7"/>
    <m/>
    <n v="262"/>
    <n v="262"/>
    <n v="270"/>
    <s v="In Detection Range"/>
    <n v="270"/>
    <x v="283"/>
    <n v="0.193637462342056"/>
  </r>
  <r>
    <x v="42"/>
    <x v="3"/>
    <s v="G12"/>
    <n v="7"/>
    <m/>
    <n v="475"/>
    <n v="475"/>
    <n v="480"/>
    <s v="In Detection Range"/>
    <n v="479.5"/>
    <x v="284"/>
    <n v="0.57704620611347701"/>
  </r>
  <r>
    <x v="42"/>
    <x v="3"/>
    <s v="G11"/>
    <n v="7"/>
    <m/>
    <n v="484"/>
    <n v="484"/>
    <n v="480"/>
    <s v="In Detection Range"/>
    <n v="479.5"/>
    <x v="285"/>
    <n v="0.57704620611347701"/>
  </r>
  <r>
    <x v="43"/>
    <x v="3"/>
    <s v="H04"/>
    <n v="7"/>
    <m/>
    <n v="28149"/>
    <n v="28149"/>
    <n v="30154"/>
    <s v="In Detection Range"/>
    <n v="30154"/>
    <x v="286"/>
    <n v="37.049517726780302"/>
  </r>
  <r>
    <x v="43"/>
    <x v="3"/>
    <s v="H03"/>
    <n v="7"/>
    <m/>
    <n v="32159"/>
    <n v="32159"/>
    <n v="30154"/>
    <s v="In Detection Range"/>
    <n v="30154"/>
    <x v="287"/>
    <n v="37.049517726780302"/>
  </r>
  <r>
    <x v="44"/>
    <x v="3"/>
    <s v="H05"/>
    <n v="7"/>
    <m/>
    <n v="18275"/>
    <n v="18275"/>
    <n v="18146"/>
    <s v="In Detection Range"/>
    <n v="18146"/>
    <x v="288"/>
    <n v="23.326431863654602"/>
  </r>
  <r>
    <x v="44"/>
    <x v="3"/>
    <s v="H06"/>
    <n v="7"/>
    <m/>
    <n v="18017"/>
    <n v="18017"/>
    <n v="18146"/>
    <s v="In Detection Range"/>
    <n v="18146"/>
    <x v="289"/>
    <n v="23.326431863654602"/>
  </r>
  <r>
    <x v="45"/>
    <x v="3"/>
    <s v="H07"/>
    <n v="7"/>
    <m/>
    <n v="37679"/>
    <n v="37679"/>
    <n v="44288"/>
    <s v="In Detection Range"/>
    <n v="44287.5"/>
    <x v="290"/>
    <n v="52.519100514726603"/>
  </r>
  <r>
    <x v="45"/>
    <x v="3"/>
    <s v="H08"/>
    <n v="7"/>
    <m/>
    <n v="50896"/>
    <n v="50896"/>
    <n v="44288"/>
    <s v="In Detection Range"/>
    <n v="44287.5"/>
    <x v="291"/>
    <n v="52.519100514726603"/>
  </r>
  <r>
    <x v="46"/>
    <x v="3"/>
    <s v="H09"/>
    <n v="7"/>
    <m/>
    <n v="335"/>
    <n v="335"/>
    <n v="333"/>
    <s v="In Detection Range"/>
    <n v="332.5"/>
    <x v="292"/>
    <n v="0.31295428878828802"/>
  </r>
  <r>
    <x v="46"/>
    <x v="3"/>
    <s v="H10"/>
    <n v="7"/>
    <m/>
    <n v="330"/>
    <n v="330"/>
    <n v="333"/>
    <s v="In Detection Range"/>
    <n v="332.5"/>
    <x v="293"/>
    <n v="0.31295428878828802"/>
  </r>
  <r>
    <x v="47"/>
    <x v="3"/>
    <s v="H12"/>
    <n v="7"/>
    <m/>
    <n v="697"/>
    <n v="697"/>
    <n v="725"/>
    <s v="In Detection Range"/>
    <n v="724.5"/>
    <x v="294"/>
    <n v="0.99090072550427799"/>
  </r>
  <r>
    <x v="47"/>
    <x v="3"/>
    <s v="H11"/>
    <n v="7"/>
    <m/>
    <n v="752"/>
    <n v="752"/>
    <n v="725"/>
    <s v="In Detection Range"/>
    <n v="724.5"/>
    <x v="295"/>
    <n v="0.99090072550427799"/>
  </r>
  <r>
    <x v="0"/>
    <x v="4"/>
    <s v="A02"/>
    <n v="8"/>
    <n v="3860"/>
    <n v="1541396"/>
    <n v="1541396"/>
    <n v="1517014"/>
    <s v="Above Fit Curve Range"/>
    <n v="1517013.5"/>
    <x v="296"/>
    <n v="3914.9403738203901"/>
  </r>
  <r>
    <x v="0"/>
    <x v="4"/>
    <s v="A01"/>
    <n v="8"/>
    <n v="3860"/>
    <n v="1492631"/>
    <n v="1492631"/>
    <n v="1517014"/>
    <s v="In Detection Range"/>
    <n v="1517013.5"/>
    <x v="297"/>
    <n v="3914.9403738203901"/>
  </r>
  <r>
    <x v="1"/>
    <x v="4"/>
    <s v="B01"/>
    <n v="8"/>
    <n v="965"/>
    <n v="366986"/>
    <n v="366986"/>
    <n v="368652"/>
    <s v="In Detection Range"/>
    <n v="368651.5"/>
    <x v="298"/>
    <n v="983.77832214147099"/>
  </r>
  <r>
    <x v="1"/>
    <x v="4"/>
    <s v="B02"/>
    <n v="8"/>
    <n v="965"/>
    <n v="370317"/>
    <n v="370317"/>
    <n v="368652"/>
    <s v="In Detection Range"/>
    <n v="368651.5"/>
    <x v="299"/>
    <n v="983.77832214147099"/>
  </r>
  <r>
    <x v="2"/>
    <x v="4"/>
    <s v="C02"/>
    <n v="8"/>
    <n v="241.25"/>
    <n v="86854"/>
    <n v="86854"/>
    <n v="83475"/>
    <s v="In Detection Range"/>
    <n v="83475"/>
    <x v="300"/>
    <n v="229.950453878492"/>
  </r>
  <r>
    <x v="2"/>
    <x v="4"/>
    <s v="C01"/>
    <n v="8"/>
    <n v="241.25"/>
    <n v="80096"/>
    <n v="80096"/>
    <n v="83475"/>
    <s v="In Detection Range"/>
    <n v="83475"/>
    <x v="301"/>
    <n v="229.950453878492"/>
  </r>
  <r>
    <x v="3"/>
    <x v="4"/>
    <s v="D01"/>
    <n v="8"/>
    <n v="60.3125"/>
    <n v="21813"/>
    <n v="21813"/>
    <n v="22099"/>
    <s v="In Detection Range"/>
    <n v="22098.5"/>
    <x v="302"/>
    <n v="61.729380424459002"/>
  </r>
  <r>
    <x v="3"/>
    <x v="4"/>
    <s v="D02"/>
    <n v="8"/>
    <n v="60.3125"/>
    <n v="22384"/>
    <n v="22384"/>
    <n v="22099"/>
    <s v="In Detection Range"/>
    <n v="22098.5"/>
    <x v="303"/>
    <n v="61.729380424459002"/>
  </r>
  <r>
    <x v="4"/>
    <x v="4"/>
    <s v="E02"/>
    <n v="8"/>
    <n v="15.078125"/>
    <n v="5513"/>
    <n v="5513"/>
    <n v="5491"/>
    <s v="In Detection Range"/>
    <n v="5490.5"/>
    <x v="304"/>
    <n v="14.5968894095859"/>
  </r>
  <r>
    <x v="4"/>
    <x v="4"/>
    <s v="E01"/>
    <n v="8"/>
    <n v="15.078125"/>
    <n v="5468"/>
    <n v="5468"/>
    <n v="5491"/>
    <s v="In Detection Range"/>
    <n v="5490.5"/>
    <x v="305"/>
    <n v="14.5968894095859"/>
  </r>
  <r>
    <x v="5"/>
    <x v="4"/>
    <s v="F02"/>
    <n v="8"/>
    <n v="3.76953125"/>
    <n v="1825"/>
    <n v="1825"/>
    <n v="1865"/>
    <s v="In Detection Range"/>
    <n v="1865"/>
    <x v="306"/>
    <n v="3.9279219915486401"/>
  </r>
  <r>
    <x v="5"/>
    <x v="4"/>
    <s v="F01"/>
    <n v="8"/>
    <n v="3.76953125"/>
    <n v="1905"/>
    <n v="1905"/>
    <n v="1865"/>
    <s v="In Detection Range"/>
    <n v="1865"/>
    <x v="307"/>
    <n v="3.9279219915486401"/>
  </r>
  <r>
    <x v="6"/>
    <x v="4"/>
    <s v="G02"/>
    <n v="8"/>
    <n v="0.9423828125"/>
    <n v="897"/>
    <n v="897"/>
    <n v="903"/>
    <s v="In Detection Range"/>
    <n v="903"/>
    <x v="308"/>
    <n v="0.99825534082224598"/>
  </r>
  <r>
    <x v="6"/>
    <x v="4"/>
    <s v="G01"/>
    <n v="8"/>
    <n v="0.9423828125"/>
    <n v="909"/>
    <n v="909"/>
    <n v="903"/>
    <s v="In Detection Range"/>
    <n v="903"/>
    <x v="309"/>
    <n v="0.99825534082224598"/>
  </r>
  <r>
    <x v="7"/>
    <x v="4"/>
    <s v="H02"/>
    <n v="8"/>
    <n v="0"/>
    <n v="557"/>
    <n v="557"/>
    <n v="580"/>
    <s v="Below Fit Curve Range"/>
    <n v="579.5"/>
    <x v="14"/>
    <s v="NaN"/>
  </r>
  <r>
    <x v="7"/>
    <x v="4"/>
    <s v="H01"/>
    <n v="8"/>
    <n v="0"/>
    <n v="602"/>
    <n v="602"/>
    <n v="580"/>
    <s v="Below Detection Range"/>
    <n v="579.5"/>
    <x v="310"/>
    <s v="NaN"/>
  </r>
  <r>
    <x v="8"/>
    <x v="4"/>
    <s v="A03"/>
    <n v="8"/>
    <m/>
    <n v="551"/>
    <n v="551"/>
    <n v="540"/>
    <s v="Below Fit Curve Range"/>
    <n v="539.5"/>
    <x v="14"/>
    <s v="NaN"/>
  </r>
  <r>
    <x v="8"/>
    <x v="4"/>
    <s v="A04"/>
    <n v="8"/>
    <m/>
    <n v="528"/>
    <n v="528"/>
    <n v="540"/>
    <s v="Below Fit Curve Range"/>
    <n v="539.5"/>
    <x v="14"/>
    <s v="NaN"/>
  </r>
  <r>
    <x v="9"/>
    <x v="4"/>
    <s v="A06"/>
    <n v="8"/>
    <m/>
    <n v="538"/>
    <n v="538"/>
    <n v="535"/>
    <s v="Below Fit Curve Range"/>
    <n v="535"/>
    <x v="14"/>
    <s v="NaN"/>
  </r>
  <r>
    <x v="9"/>
    <x v="4"/>
    <s v="A05"/>
    <n v="8"/>
    <m/>
    <n v="532"/>
    <n v="532"/>
    <n v="535"/>
    <s v="Below Fit Curve Range"/>
    <n v="535"/>
    <x v="14"/>
    <s v="NaN"/>
  </r>
  <r>
    <x v="10"/>
    <x v="4"/>
    <s v="A08"/>
    <n v="8"/>
    <m/>
    <n v="560"/>
    <n v="560"/>
    <n v="557"/>
    <s v="Below Fit Curve Range"/>
    <n v="556.5"/>
    <x v="14"/>
    <s v="NaN"/>
  </r>
  <r>
    <x v="10"/>
    <x v="4"/>
    <s v="A07"/>
    <n v="8"/>
    <m/>
    <n v="553"/>
    <n v="553"/>
    <n v="557"/>
    <s v="Below Fit Curve Range"/>
    <n v="556.5"/>
    <x v="14"/>
    <s v="NaN"/>
  </r>
  <r>
    <x v="11"/>
    <x v="4"/>
    <s v="A09"/>
    <n v="8"/>
    <m/>
    <n v="553"/>
    <n v="553"/>
    <n v="556"/>
    <s v="Below Fit Curve Range"/>
    <n v="555.5"/>
    <x v="14"/>
    <s v="NaN"/>
  </r>
  <r>
    <x v="11"/>
    <x v="4"/>
    <s v="A10"/>
    <n v="8"/>
    <m/>
    <n v="558"/>
    <n v="558"/>
    <n v="556"/>
    <s v="Below Fit Curve Range"/>
    <n v="555.5"/>
    <x v="14"/>
    <s v="NaN"/>
  </r>
  <r>
    <x v="12"/>
    <x v="4"/>
    <s v="A12"/>
    <n v="8"/>
    <m/>
    <n v="687"/>
    <n v="687"/>
    <n v="668"/>
    <s v="In Detection Range"/>
    <n v="667.5"/>
    <x v="311"/>
    <n v="0.25507990573968398"/>
  </r>
  <r>
    <x v="12"/>
    <x v="4"/>
    <s v="A11"/>
    <n v="8"/>
    <m/>
    <n v="648"/>
    <n v="648"/>
    <n v="668"/>
    <s v="Below Detection Range"/>
    <n v="667.5"/>
    <x v="312"/>
    <n v="0.25507990573968398"/>
  </r>
  <r>
    <x v="13"/>
    <x v="4"/>
    <s v="B03"/>
    <n v="8"/>
    <m/>
    <n v="598"/>
    <n v="598"/>
    <n v="580"/>
    <s v="Below Detection Range"/>
    <n v="579.5"/>
    <x v="313"/>
    <s v="NaN"/>
  </r>
  <r>
    <x v="13"/>
    <x v="4"/>
    <s v="B04"/>
    <n v="8"/>
    <m/>
    <n v="561"/>
    <n v="561"/>
    <n v="580"/>
    <s v="Below Fit Curve Range"/>
    <n v="579.5"/>
    <x v="14"/>
    <s v="NaN"/>
  </r>
  <r>
    <x v="14"/>
    <x v="4"/>
    <s v="B05"/>
    <n v="8"/>
    <m/>
    <n v="596"/>
    <n v="596"/>
    <n v="579"/>
    <s v="Below Detection Range"/>
    <n v="579"/>
    <x v="314"/>
    <s v="NaN"/>
  </r>
  <r>
    <x v="14"/>
    <x v="4"/>
    <s v="B06"/>
    <n v="8"/>
    <m/>
    <n v="562"/>
    <n v="562"/>
    <n v="579"/>
    <s v="Below Fit Curve Range"/>
    <n v="579"/>
    <x v="14"/>
    <s v="NaN"/>
  </r>
  <r>
    <x v="15"/>
    <x v="4"/>
    <s v="B08"/>
    <n v="8"/>
    <m/>
    <n v="637"/>
    <n v="637"/>
    <n v="632"/>
    <s v="Below Detection Range"/>
    <n v="632"/>
    <x v="315"/>
    <n v="0.140021135830491"/>
  </r>
  <r>
    <x v="15"/>
    <x v="4"/>
    <s v="B07"/>
    <n v="8"/>
    <m/>
    <n v="627"/>
    <n v="627"/>
    <n v="632"/>
    <s v="Below Detection Range"/>
    <n v="632"/>
    <x v="316"/>
    <n v="0.140021135830491"/>
  </r>
  <r>
    <x v="16"/>
    <x v="4"/>
    <s v="B09"/>
    <n v="8"/>
    <m/>
    <n v="610"/>
    <n v="610"/>
    <n v="572"/>
    <s v="Below Detection Range"/>
    <n v="571.5"/>
    <x v="317"/>
    <s v="NaN"/>
  </r>
  <r>
    <x v="16"/>
    <x v="4"/>
    <s v="B10"/>
    <n v="8"/>
    <m/>
    <n v="533"/>
    <n v="533"/>
    <n v="572"/>
    <s v="Below Fit Curve Range"/>
    <n v="571.5"/>
    <x v="14"/>
    <s v="NaN"/>
  </r>
  <r>
    <x v="17"/>
    <x v="4"/>
    <s v="B11"/>
    <n v="8"/>
    <m/>
    <n v="593"/>
    <n v="593"/>
    <n v="581"/>
    <s v="Below Detection Range"/>
    <n v="581"/>
    <x v="318"/>
    <s v="NaN"/>
  </r>
  <r>
    <x v="17"/>
    <x v="4"/>
    <s v="B12"/>
    <n v="8"/>
    <m/>
    <n v="569"/>
    <n v="569"/>
    <n v="581"/>
    <s v="Below Fit Curve Range"/>
    <n v="581"/>
    <x v="14"/>
    <s v="NaN"/>
  </r>
  <r>
    <x v="18"/>
    <x v="4"/>
    <s v="C03"/>
    <n v="8"/>
    <m/>
    <n v="536"/>
    <n v="536"/>
    <n v="560"/>
    <s v="Below Fit Curve Range"/>
    <n v="559.5"/>
    <x v="14"/>
    <s v="NaN"/>
  </r>
  <r>
    <x v="18"/>
    <x v="4"/>
    <s v="C04"/>
    <n v="8"/>
    <m/>
    <n v="583"/>
    <n v="583"/>
    <n v="560"/>
    <s v="Below Fit Curve Range"/>
    <n v="559.5"/>
    <x v="14"/>
    <s v="NaN"/>
  </r>
  <r>
    <x v="19"/>
    <x v="4"/>
    <s v="C06"/>
    <n v="8"/>
    <m/>
    <n v="620"/>
    <n v="620"/>
    <n v="634"/>
    <s v="Below Detection Range"/>
    <n v="633.5"/>
    <x v="319"/>
    <n v="0.14477786680454799"/>
  </r>
  <r>
    <x v="19"/>
    <x v="4"/>
    <s v="C05"/>
    <n v="8"/>
    <m/>
    <n v="647"/>
    <n v="647"/>
    <n v="634"/>
    <s v="Below Detection Range"/>
    <n v="633.5"/>
    <x v="320"/>
    <n v="0.14477786680454799"/>
  </r>
  <r>
    <x v="20"/>
    <x v="4"/>
    <s v="C08"/>
    <n v="8"/>
    <m/>
    <n v="578"/>
    <n v="578"/>
    <n v="578"/>
    <s v="Below Fit Curve Range"/>
    <n v="578"/>
    <x v="14"/>
    <s v="NaN"/>
  </r>
  <r>
    <x v="20"/>
    <x v="4"/>
    <s v="C07"/>
    <n v="8"/>
    <m/>
    <n v="578"/>
    <n v="578"/>
    <n v="578"/>
    <s v="Below Fit Curve Range"/>
    <n v="578"/>
    <x v="14"/>
    <s v="NaN"/>
  </r>
  <r>
    <x v="21"/>
    <x v="4"/>
    <s v="C09"/>
    <n v="8"/>
    <m/>
    <n v="584"/>
    <n v="584"/>
    <n v="587"/>
    <s v="Below Fit Curve Range"/>
    <n v="586.5"/>
    <x v="14"/>
    <s v="NaN"/>
  </r>
  <r>
    <x v="21"/>
    <x v="4"/>
    <s v="C10"/>
    <n v="8"/>
    <m/>
    <n v="589"/>
    <n v="589"/>
    <n v="587"/>
    <s v="Below Fit Curve Range"/>
    <n v="586.5"/>
    <x v="14"/>
    <s v="NaN"/>
  </r>
  <r>
    <x v="22"/>
    <x v="4"/>
    <s v="C12"/>
    <n v="8"/>
    <m/>
    <n v="601"/>
    <n v="601"/>
    <n v="599"/>
    <s v="Below Detection Range"/>
    <n v="598.5"/>
    <x v="321"/>
    <n v="2.8656838412654002E-2"/>
  </r>
  <r>
    <x v="22"/>
    <x v="4"/>
    <s v="C11"/>
    <n v="8"/>
    <m/>
    <n v="596"/>
    <n v="596"/>
    <n v="599"/>
    <s v="Below Detection Range"/>
    <n v="598.5"/>
    <x v="314"/>
    <n v="2.8656838412654002E-2"/>
  </r>
  <r>
    <x v="23"/>
    <x v="4"/>
    <s v="D03"/>
    <n v="8"/>
    <m/>
    <n v="595"/>
    <n v="595"/>
    <n v="557"/>
    <s v="Below Detection Range"/>
    <n v="556.5"/>
    <x v="322"/>
    <s v="NaN"/>
  </r>
  <r>
    <x v="23"/>
    <x v="4"/>
    <s v="D04"/>
    <n v="8"/>
    <m/>
    <n v="518"/>
    <n v="518"/>
    <n v="557"/>
    <s v="Below Fit Curve Range"/>
    <n v="556.5"/>
    <x v="14"/>
    <s v="NaN"/>
  </r>
  <r>
    <x v="24"/>
    <x v="4"/>
    <s v="D05"/>
    <n v="8"/>
    <m/>
    <n v="623"/>
    <n v="623"/>
    <n v="594"/>
    <s v="Below Detection Range"/>
    <n v="593.5"/>
    <x v="323"/>
    <s v="NaN"/>
  </r>
  <r>
    <x v="24"/>
    <x v="4"/>
    <s v="D06"/>
    <n v="8"/>
    <m/>
    <n v="564"/>
    <n v="564"/>
    <n v="594"/>
    <s v="Below Fit Curve Range"/>
    <n v="593.5"/>
    <x v="14"/>
    <s v="NaN"/>
  </r>
  <r>
    <x v="25"/>
    <x v="4"/>
    <s v="D07"/>
    <n v="8"/>
    <m/>
    <n v="605"/>
    <n v="605"/>
    <n v="603"/>
    <s v="Below Detection Range"/>
    <n v="602.5"/>
    <x v="324"/>
    <n v="4.22382852413219E-2"/>
  </r>
  <r>
    <x v="25"/>
    <x v="4"/>
    <s v="D08"/>
    <n v="8"/>
    <m/>
    <n v="600"/>
    <n v="600"/>
    <n v="603"/>
    <s v="Below Detection Range"/>
    <n v="602.5"/>
    <x v="325"/>
    <n v="4.22382852413219E-2"/>
  </r>
  <r>
    <x v="26"/>
    <x v="4"/>
    <s v="D09"/>
    <n v="8"/>
    <m/>
    <n v="608"/>
    <n v="608"/>
    <n v="573"/>
    <s v="Below Detection Range"/>
    <n v="573"/>
    <x v="326"/>
    <s v="NaN"/>
  </r>
  <r>
    <x v="26"/>
    <x v="4"/>
    <s v="D10"/>
    <n v="8"/>
    <m/>
    <n v="538"/>
    <n v="538"/>
    <n v="573"/>
    <s v="Below Fit Curve Range"/>
    <n v="573"/>
    <x v="14"/>
    <s v="NaN"/>
  </r>
  <r>
    <x v="27"/>
    <x v="4"/>
    <s v="D11"/>
    <n v="8"/>
    <m/>
    <n v="639"/>
    <n v="639"/>
    <n v="607"/>
    <s v="Below Detection Range"/>
    <n v="606.5"/>
    <x v="327"/>
    <s v="NaN"/>
  </r>
  <r>
    <x v="27"/>
    <x v="4"/>
    <s v="D12"/>
    <n v="8"/>
    <m/>
    <n v="574"/>
    <n v="574"/>
    <n v="607"/>
    <s v="Below Fit Curve Range"/>
    <n v="606.5"/>
    <x v="14"/>
    <s v="NaN"/>
  </r>
  <r>
    <x v="28"/>
    <x v="4"/>
    <s v="E03"/>
    <n v="8"/>
    <m/>
    <n v="572"/>
    <n v="572"/>
    <n v="573"/>
    <s v="Below Fit Curve Range"/>
    <n v="573"/>
    <x v="14"/>
    <s v="NaN"/>
  </r>
  <r>
    <x v="28"/>
    <x v="4"/>
    <s v="E04"/>
    <n v="8"/>
    <m/>
    <n v="574"/>
    <n v="574"/>
    <n v="573"/>
    <s v="Below Fit Curve Range"/>
    <n v="573"/>
    <x v="14"/>
    <s v="NaN"/>
  </r>
  <r>
    <x v="29"/>
    <x v="4"/>
    <s v="E06"/>
    <n v="8"/>
    <m/>
    <n v="588"/>
    <n v="588"/>
    <n v="590"/>
    <s v="Below Fit Curve Range"/>
    <n v="589.5"/>
    <x v="14"/>
    <s v="NaN"/>
  </r>
  <r>
    <x v="29"/>
    <x v="4"/>
    <s v="E05"/>
    <n v="8"/>
    <m/>
    <n v="591"/>
    <n v="591"/>
    <n v="590"/>
    <s v="Below Detection Range"/>
    <n v="589.5"/>
    <x v="328"/>
    <s v="NaN"/>
  </r>
  <r>
    <x v="30"/>
    <x v="4"/>
    <s v="E08"/>
    <n v="8"/>
    <m/>
    <n v="565"/>
    <n v="565"/>
    <n v="581"/>
    <s v="Below Fit Curve Range"/>
    <n v="580.5"/>
    <x v="14"/>
    <s v="NaN"/>
  </r>
  <r>
    <x v="30"/>
    <x v="4"/>
    <s v="E07"/>
    <n v="8"/>
    <m/>
    <n v="596"/>
    <n v="596"/>
    <n v="581"/>
    <s v="Below Detection Range"/>
    <n v="580.5"/>
    <x v="314"/>
    <s v="NaN"/>
  </r>
  <r>
    <x v="31"/>
    <x v="4"/>
    <s v="E09"/>
    <n v="8"/>
    <m/>
    <n v="544"/>
    <n v="544"/>
    <n v="547"/>
    <s v="Below Fit Curve Range"/>
    <n v="546.5"/>
    <x v="14"/>
    <s v="NaN"/>
  </r>
  <r>
    <x v="31"/>
    <x v="4"/>
    <s v="E10"/>
    <n v="8"/>
    <m/>
    <n v="549"/>
    <n v="549"/>
    <n v="547"/>
    <s v="Below Fit Curve Range"/>
    <n v="546.5"/>
    <x v="14"/>
    <s v="NaN"/>
  </r>
  <r>
    <x v="32"/>
    <x v="4"/>
    <s v="E12"/>
    <n v="8"/>
    <m/>
    <n v="595"/>
    <n v="595"/>
    <n v="619"/>
    <s v="Below Detection Range"/>
    <n v="618.5"/>
    <x v="322"/>
    <n v="9.4684945026572598E-2"/>
  </r>
  <r>
    <x v="32"/>
    <x v="4"/>
    <s v="E11"/>
    <n v="8"/>
    <m/>
    <n v="642"/>
    <n v="642"/>
    <n v="619"/>
    <s v="Below Detection Range"/>
    <n v="618.5"/>
    <x v="329"/>
    <n v="9.4684945026572598E-2"/>
  </r>
  <r>
    <x v="33"/>
    <x v="4"/>
    <s v="F03"/>
    <n v="8"/>
    <m/>
    <n v="584"/>
    <n v="584"/>
    <n v="574"/>
    <s v="Below Fit Curve Range"/>
    <n v="573.5"/>
    <x v="14"/>
    <s v="NaN"/>
  </r>
  <r>
    <x v="33"/>
    <x v="4"/>
    <s v="F04"/>
    <n v="8"/>
    <m/>
    <n v="563"/>
    <n v="563"/>
    <n v="574"/>
    <s v="Below Fit Curve Range"/>
    <n v="573.5"/>
    <x v="14"/>
    <s v="NaN"/>
  </r>
  <r>
    <x v="34"/>
    <x v="4"/>
    <s v="F06"/>
    <n v="8"/>
    <m/>
    <n v="572"/>
    <n v="572"/>
    <n v="597"/>
    <s v="Below Fit Curve Range"/>
    <n v="597"/>
    <x v="14"/>
    <s v="NaN"/>
  </r>
  <r>
    <x v="34"/>
    <x v="4"/>
    <s v="F05"/>
    <n v="8"/>
    <m/>
    <n v="622"/>
    <n v="622"/>
    <n v="597"/>
    <s v="Below Detection Range"/>
    <n v="597"/>
    <x v="330"/>
    <s v="NaN"/>
  </r>
  <r>
    <x v="35"/>
    <x v="4"/>
    <s v="F08"/>
    <n v="8"/>
    <m/>
    <n v="583"/>
    <n v="583"/>
    <n v="608"/>
    <s v="Below Fit Curve Range"/>
    <n v="608"/>
    <x v="14"/>
    <s v="NaN"/>
  </r>
  <r>
    <x v="35"/>
    <x v="4"/>
    <s v="F07"/>
    <n v="8"/>
    <m/>
    <n v="633"/>
    <n v="633"/>
    <n v="608"/>
    <s v="Below Detection Range"/>
    <n v="608"/>
    <x v="331"/>
    <s v="NaN"/>
  </r>
  <r>
    <x v="36"/>
    <x v="4"/>
    <s v="F09"/>
    <n v="8"/>
    <m/>
    <n v="624"/>
    <n v="624"/>
    <n v="593"/>
    <s v="Below Detection Range"/>
    <n v="593"/>
    <x v="332"/>
    <s v="NaN"/>
  </r>
  <r>
    <x v="36"/>
    <x v="4"/>
    <s v="F10"/>
    <n v="8"/>
    <m/>
    <n v="562"/>
    <n v="562"/>
    <n v="593"/>
    <s v="Below Fit Curve Range"/>
    <n v="593"/>
    <x v="14"/>
    <s v="NaN"/>
  </r>
  <r>
    <x v="37"/>
    <x v="4"/>
    <s v="F11"/>
    <n v="8"/>
    <m/>
    <n v="676"/>
    <n v="676"/>
    <n v="662"/>
    <s v="In Detection Range"/>
    <n v="662"/>
    <x v="333"/>
    <n v="0.23742431753790399"/>
  </r>
  <r>
    <x v="37"/>
    <x v="4"/>
    <s v="F12"/>
    <n v="8"/>
    <m/>
    <n v="648"/>
    <n v="648"/>
    <n v="662"/>
    <s v="Below Detection Range"/>
    <n v="662"/>
    <x v="312"/>
    <n v="0.23742431753790399"/>
  </r>
  <r>
    <x v="38"/>
    <x v="4"/>
    <s v="G04"/>
    <n v="8"/>
    <m/>
    <n v="560"/>
    <n v="560"/>
    <n v="571"/>
    <s v="Below Fit Curve Range"/>
    <n v="571"/>
    <x v="14"/>
    <s v="NaN"/>
  </r>
  <r>
    <x v="38"/>
    <x v="4"/>
    <s v="G03"/>
    <n v="8"/>
    <m/>
    <n v="582"/>
    <n v="582"/>
    <n v="571"/>
    <s v="Below Fit Curve Range"/>
    <n v="571"/>
    <x v="14"/>
    <s v="NaN"/>
  </r>
  <r>
    <x v="39"/>
    <x v="4"/>
    <s v="G06"/>
    <n v="8"/>
    <m/>
    <n v="601"/>
    <n v="601"/>
    <n v="606"/>
    <s v="Below Detection Range"/>
    <n v="605.5"/>
    <x v="321"/>
    <n v="5.2304198143549002E-2"/>
  </r>
  <r>
    <x v="39"/>
    <x v="4"/>
    <s v="G05"/>
    <n v="8"/>
    <m/>
    <n v="610"/>
    <n v="610"/>
    <n v="606"/>
    <s v="Below Detection Range"/>
    <n v="605.5"/>
    <x v="317"/>
    <n v="5.2304198143549002E-2"/>
  </r>
  <r>
    <x v="40"/>
    <x v="4"/>
    <s v="G08"/>
    <n v="8"/>
    <m/>
    <n v="602"/>
    <n v="602"/>
    <n v="588"/>
    <s v="Below Detection Range"/>
    <n v="587.5"/>
    <x v="310"/>
    <s v="NaN"/>
  </r>
  <r>
    <x v="40"/>
    <x v="4"/>
    <s v="G07"/>
    <n v="8"/>
    <m/>
    <n v="573"/>
    <n v="573"/>
    <n v="588"/>
    <s v="Below Fit Curve Range"/>
    <n v="587.5"/>
    <x v="14"/>
    <s v="NaN"/>
  </r>
  <r>
    <x v="41"/>
    <x v="4"/>
    <s v="G09"/>
    <n v="8"/>
    <m/>
    <n v="693"/>
    <n v="693"/>
    <n v="701"/>
    <s v="In Detection Range"/>
    <n v="700.5"/>
    <x v="334"/>
    <n v="0.361135452773506"/>
  </r>
  <r>
    <x v="41"/>
    <x v="4"/>
    <s v="G10"/>
    <n v="8"/>
    <m/>
    <n v="708"/>
    <n v="708"/>
    <n v="701"/>
    <s v="In Detection Range"/>
    <n v="700.5"/>
    <x v="335"/>
    <n v="0.361135452773506"/>
  </r>
  <r>
    <x v="42"/>
    <x v="4"/>
    <s v="G12"/>
    <n v="8"/>
    <m/>
    <n v="641"/>
    <n v="641"/>
    <n v="655"/>
    <s v="Below Detection Range"/>
    <n v="654.5"/>
    <x v="336"/>
    <n v="0.21316489305755101"/>
  </r>
  <r>
    <x v="42"/>
    <x v="4"/>
    <s v="G11"/>
    <n v="8"/>
    <m/>
    <n v="668"/>
    <n v="668"/>
    <n v="655"/>
    <s v="Below Detection Range"/>
    <n v="654.5"/>
    <x v="337"/>
    <n v="0.21316489305755101"/>
  </r>
  <r>
    <x v="43"/>
    <x v="4"/>
    <s v="H04"/>
    <n v="8"/>
    <m/>
    <n v="555"/>
    <n v="555"/>
    <n v="592"/>
    <s v="Below Fit Curve Range"/>
    <n v="591.5"/>
    <x v="14"/>
    <s v="NaN"/>
  </r>
  <r>
    <x v="43"/>
    <x v="4"/>
    <s v="H03"/>
    <n v="8"/>
    <m/>
    <n v="628"/>
    <n v="628"/>
    <n v="592"/>
    <s v="Below Detection Range"/>
    <n v="591.5"/>
    <x v="338"/>
    <s v="NaN"/>
  </r>
  <r>
    <x v="44"/>
    <x v="4"/>
    <s v="H05"/>
    <n v="8"/>
    <m/>
    <n v="639"/>
    <n v="639"/>
    <n v="612"/>
    <s v="Below Detection Range"/>
    <n v="612"/>
    <x v="327"/>
    <s v="NaN"/>
  </r>
  <r>
    <x v="44"/>
    <x v="4"/>
    <s v="H06"/>
    <n v="8"/>
    <m/>
    <n v="585"/>
    <n v="585"/>
    <n v="612"/>
    <s v="Below Fit Curve Range"/>
    <n v="612"/>
    <x v="14"/>
    <s v="NaN"/>
  </r>
  <r>
    <x v="45"/>
    <x v="4"/>
    <s v="H07"/>
    <n v="8"/>
    <m/>
    <n v="634"/>
    <n v="634"/>
    <n v="608"/>
    <s v="Below Detection Range"/>
    <n v="607.5"/>
    <x v="339"/>
    <s v="NaN"/>
  </r>
  <r>
    <x v="45"/>
    <x v="4"/>
    <s v="H08"/>
    <n v="8"/>
    <m/>
    <n v="581"/>
    <n v="581"/>
    <n v="608"/>
    <s v="Below Fit Curve Range"/>
    <n v="607.5"/>
    <x v="14"/>
    <s v="NaN"/>
  </r>
  <r>
    <x v="46"/>
    <x v="4"/>
    <s v="H10"/>
    <n v="8"/>
    <m/>
    <n v="709"/>
    <n v="709"/>
    <n v="695"/>
    <s v="In Detection Range"/>
    <n v="695"/>
    <x v="340"/>
    <n v="0.34349774100939001"/>
  </r>
  <r>
    <x v="46"/>
    <x v="4"/>
    <s v="H09"/>
    <n v="8"/>
    <m/>
    <n v="681"/>
    <n v="681"/>
    <n v="695"/>
    <s v="In Detection Range"/>
    <n v="695"/>
    <x v="341"/>
    <n v="0.34349774100939001"/>
  </r>
  <r>
    <x v="47"/>
    <x v="4"/>
    <s v="H12"/>
    <n v="8"/>
    <m/>
    <n v="699"/>
    <n v="699"/>
    <n v="702"/>
    <s v="In Detection Range"/>
    <n v="701.5"/>
    <x v="342"/>
    <n v="0.364348170961171"/>
  </r>
  <r>
    <x v="47"/>
    <x v="4"/>
    <s v="H11"/>
    <n v="8"/>
    <m/>
    <n v="704"/>
    <n v="704"/>
    <n v="702"/>
    <s v="In Detection Range"/>
    <n v="701.5"/>
    <x v="343"/>
    <n v="0.364348170961171"/>
  </r>
  <r>
    <x v="0"/>
    <x v="5"/>
    <s v="A02"/>
    <n v="9"/>
    <n v="27900"/>
    <n v="997552"/>
    <n v="997552"/>
    <n v="1027914"/>
    <s v="In Detection Range"/>
    <n v="1027914"/>
    <x v="344"/>
    <n v="27589.118309654801"/>
  </r>
  <r>
    <x v="0"/>
    <x v="5"/>
    <s v="A01"/>
    <n v="9"/>
    <n v="27900"/>
    <n v="1058276"/>
    <n v="1058276"/>
    <n v="1027914"/>
    <s v="Above Fit Curve Range"/>
    <n v="1027914"/>
    <x v="345"/>
    <n v="27589.118309654801"/>
  </r>
  <r>
    <x v="1"/>
    <x v="5"/>
    <s v="B01"/>
    <n v="9"/>
    <n v="6975"/>
    <n v="231867"/>
    <n v="231867"/>
    <n v="228766"/>
    <s v="In Detection Range"/>
    <n v="228765.5"/>
    <x v="346"/>
    <n v="7410.2562920781002"/>
  </r>
  <r>
    <x v="1"/>
    <x v="5"/>
    <s v="B02"/>
    <n v="9"/>
    <n v="6975"/>
    <n v="225664"/>
    <n v="225664"/>
    <n v="228766"/>
    <s v="In Detection Range"/>
    <n v="228765.5"/>
    <x v="347"/>
    <n v="7410.2562920781002"/>
  </r>
  <r>
    <x v="2"/>
    <x v="5"/>
    <s v="C02"/>
    <n v="9"/>
    <n v="1743.75"/>
    <n v="39737"/>
    <n v="39737"/>
    <n v="40032"/>
    <s v="In Detection Range"/>
    <n v="40032"/>
    <x v="348"/>
    <n v="1732.5173263112699"/>
  </r>
  <r>
    <x v="2"/>
    <x v="5"/>
    <s v="C01"/>
    <n v="9"/>
    <n v="1743.75"/>
    <n v="40327"/>
    <n v="40327"/>
    <n v="40032"/>
    <s v="In Detection Range"/>
    <n v="40032"/>
    <x v="349"/>
    <n v="1732.5173263112699"/>
  </r>
  <r>
    <x v="3"/>
    <x v="5"/>
    <s v="D01"/>
    <n v="9"/>
    <n v="435.9375"/>
    <n v="7063"/>
    <n v="7063"/>
    <n v="7143"/>
    <s v="In Detection Range"/>
    <n v="7143"/>
    <x v="350"/>
    <n v="407.94864689809401"/>
  </r>
  <r>
    <x v="3"/>
    <x v="5"/>
    <s v="D02"/>
    <n v="9"/>
    <n v="435.9375"/>
    <n v="7223"/>
    <n v="7223"/>
    <n v="7143"/>
    <s v="In Detection Range"/>
    <n v="7143"/>
    <x v="351"/>
    <n v="407.94864689809401"/>
  </r>
  <r>
    <x v="4"/>
    <x v="5"/>
    <s v="E02"/>
    <n v="9"/>
    <n v="108.984375"/>
    <n v="1691"/>
    <n v="1691"/>
    <n v="1663"/>
    <s v="In Detection Range"/>
    <n v="1662.5"/>
    <x v="352"/>
    <n v="108.581147789208"/>
  </r>
  <r>
    <x v="4"/>
    <x v="5"/>
    <s v="E01"/>
    <n v="9"/>
    <n v="108.984375"/>
    <n v="1634"/>
    <n v="1634"/>
    <n v="1663"/>
    <s v="In Detection Range"/>
    <n v="1662.5"/>
    <x v="353"/>
    <n v="108.581147789208"/>
  </r>
  <r>
    <x v="5"/>
    <x v="5"/>
    <s v="F02"/>
    <n v="9"/>
    <n v="27.24609375"/>
    <n v="615"/>
    <n v="615"/>
    <n v="608"/>
    <s v="In Detection Range"/>
    <n v="607.5"/>
    <x v="354"/>
    <n v="32.173372700481004"/>
  </r>
  <r>
    <x v="5"/>
    <x v="5"/>
    <s v="F01"/>
    <n v="9"/>
    <n v="27.24609375"/>
    <n v="600"/>
    <n v="600"/>
    <n v="608"/>
    <s v="In Detection Range"/>
    <n v="607.5"/>
    <x v="355"/>
    <n v="32.173372700481004"/>
  </r>
  <r>
    <x v="6"/>
    <x v="5"/>
    <s v="G02"/>
    <n v="9"/>
    <n v="6.8115234375"/>
    <n v="353"/>
    <n v="353"/>
    <n v="354"/>
    <s v="In Detection Range"/>
    <n v="353.5"/>
    <x v="356"/>
    <n v="7.9068678785499698"/>
  </r>
  <r>
    <x v="6"/>
    <x v="5"/>
    <s v="G01"/>
    <n v="9"/>
    <n v="6.8115234375"/>
    <n v="354"/>
    <n v="354"/>
    <n v="354"/>
    <s v="In Detection Range"/>
    <n v="353.5"/>
    <x v="357"/>
    <n v="7.9068678785499698"/>
  </r>
  <r>
    <x v="7"/>
    <x v="5"/>
    <s v="H02"/>
    <n v="9"/>
    <n v="0"/>
    <n v="285"/>
    <n v="285"/>
    <n v="281"/>
    <s v="Below Fit Curve Range"/>
    <n v="280.5"/>
    <x v="14"/>
    <s v="NaN"/>
  </r>
  <r>
    <x v="7"/>
    <x v="5"/>
    <s v="H01"/>
    <n v="9"/>
    <n v="0"/>
    <n v="276"/>
    <n v="276"/>
    <n v="281"/>
    <s v="Below Fit Curve Range"/>
    <n v="280.5"/>
    <x v="14"/>
    <s v="NaN"/>
  </r>
  <r>
    <x v="8"/>
    <x v="5"/>
    <s v="A03"/>
    <n v="9"/>
    <m/>
    <n v="288"/>
    <n v="288"/>
    <n v="294"/>
    <s v="Below Fit Curve Range"/>
    <n v="294"/>
    <x v="14"/>
    <s v="NaN"/>
  </r>
  <r>
    <x v="8"/>
    <x v="5"/>
    <s v="A04"/>
    <n v="9"/>
    <m/>
    <n v="300"/>
    <n v="300"/>
    <n v="294"/>
    <s v="Below Detection Range"/>
    <n v="294"/>
    <x v="358"/>
    <s v="NaN"/>
  </r>
  <r>
    <x v="9"/>
    <x v="5"/>
    <s v="A06"/>
    <n v="9"/>
    <m/>
    <n v="302"/>
    <n v="302"/>
    <n v="298"/>
    <s v="Below Detection Range"/>
    <n v="298"/>
    <x v="359"/>
    <s v="NaN"/>
  </r>
  <r>
    <x v="9"/>
    <x v="5"/>
    <s v="A05"/>
    <n v="9"/>
    <m/>
    <n v="294"/>
    <n v="294"/>
    <n v="298"/>
    <s v="Below Fit Curve Range"/>
    <n v="298"/>
    <x v="14"/>
    <s v="NaN"/>
  </r>
  <r>
    <x v="10"/>
    <x v="5"/>
    <s v="A08"/>
    <n v="9"/>
    <m/>
    <n v="289"/>
    <n v="289"/>
    <n v="297"/>
    <s v="Below Fit Curve Range"/>
    <n v="296.5"/>
    <x v="14"/>
    <s v="NaN"/>
  </r>
  <r>
    <x v="10"/>
    <x v="5"/>
    <s v="A07"/>
    <n v="9"/>
    <m/>
    <n v="304"/>
    <n v="304"/>
    <n v="297"/>
    <s v="Below Detection Range"/>
    <n v="296.5"/>
    <x v="360"/>
    <s v="NaN"/>
  </r>
  <r>
    <x v="11"/>
    <x v="5"/>
    <s v="A09"/>
    <n v="9"/>
    <m/>
    <n v="290"/>
    <n v="290"/>
    <n v="291"/>
    <s v="Below Fit Curve Range"/>
    <n v="290.5"/>
    <x v="14"/>
    <s v="NaN"/>
  </r>
  <r>
    <x v="11"/>
    <x v="5"/>
    <s v="A10"/>
    <n v="9"/>
    <m/>
    <n v="291"/>
    <n v="291"/>
    <n v="291"/>
    <s v="Below Fit Curve Range"/>
    <n v="290.5"/>
    <x v="14"/>
    <s v="NaN"/>
  </r>
  <r>
    <x v="12"/>
    <x v="5"/>
    <s v="A12"/>
    <n v="9"/>
    <m/>
    <n v="341"/>
    <n v="341"/>
    <n v="344"/>
    <s v="In Detection Range"/>
    <n v="344"/>
    <x v="361"/>
    <n v="6.7874741152682097"/>
  </r>
  <r>
    <x v="12"/>
    <x v="5"/>
    <s v="A11"/>
    <n v="9"/>
    <m/>
    <n v="347"/>
    <n v="347"/>
    <n v="344"/>
    <s v="In Detection Range"/>
    <n v="344"/>
    <x v="362"/>
    <n v="6.7874741152682097"/>
  </r>
  <r>
    <x v="13"/>
    <x v="5"/>
    <s v="B03"/>
    <n v="9"/>
    <m/>
    <n v="306"/>
    <n v="306"/>
    <n v="316"/>
    <s v="Below Detection Range"/>
    <n v="316"/>
    <x v="363"/>
    <n v="3.1193878588598301"/>
  </r>
  <r>
    <x v="13"/>
    <x v="5"/>
    <s v="B04"/>
    <n v="9"/>
    <m/>
    <n v="326"/>
    <n v="326"/>
    <n v="316"/>
    <s v="Below Detection Range"/>
    <n v="316"/>
    <x v="364"/>
    <n v="3.1193878588598301"/>
  </r>
  <r>
    <x v="14"/>
    <x v="5"/>
    <s v="B05"/>
    <n v="9"/>
    <m/>
    <n v="308"/>
    <n v="308"/>
    <n v="320"/>
    <s v="Below Detection Range"/>
    <n v="319.5"/>
    <x v="365"/>
    <n v="3.6001138999341902"/>
  </r>
  <r>
    <x v="14"/>
    <x v="5"/>
    <s v="B06"/>
    <n v="9"/>
    <m/>
    <n v="331"/>
    <n v="331"/>
    <n v="320"/>
    <s v="Below Detection Range"/>
    <n v="319.5"/>
    <x v="366"/>
    <n v="3.6001138999341902"/>
  </r>
  <r>
    <x v="15"/>
    <x v="5"/>
    <s v="B08"/>
    <n v="9"/>
    <m/>
    <n v="312"/>
    <n v="312"/>
    <n v="309"/>
    <s v="Below Detection Range"/>
    <n v="308.5"/>
    <x v="367"/>
    <n v="2.07214832309303"/>
  </r>
  <r>
    <x v="15"/>
    <x v="5"/>
    <s v="B07"/>
    <n v="9"/>
    <m/>
    <n v="305"/>
    <n v="305"/>
    <n v="309"/>
    <s v="Below Detection Range"/>
    <n v="308.5"/>
    <x v="368"/>
    <n v="2.07214832309303"/>
  </r>
  <r>
    <x v="16"/>
    <x v="5"/>
    <s v="B09"/>
    <n v="9"/>
    <m/>
    <n v="294"/>
    <n v="294"/>
    <n v="294"/>
    <s v="Below Fit Curve Range"/>
    <n v="294"/>
    <x v="14"/>
    <s v="NaN"/>
  </r>
  <r>
    <x v="16"/>
    <x v="5"/>
    <s v="B10"/>
    <n v="9"/>
    <m/>
    <n v="294"/>
    <n v="294"/>
    <n v="294"/>
    <s v="Below Fit Curve Range"/>
    <n v="294"/>
    <x v="14"/>
    <s v="NaN"/>
  </r>
  <r>
    <x v="17"/>
    <x v="5"/>
    <s v="B11"/>
    <n v="9"/>
    <m/>
    <n v="302"/>
    <n v="302"/>
    <n v="312"/>
    <s v="Below Detection Range"/>
    <n v="312"/>
    <x v="359"/>
    <n v="2.5134511089260001"/>
  </r>
  <r>
    <x v="17"/>
    <x v="5"/>
    <s v="B12"/>
    <n v="9"/>
    <m/>
    <n v="322"/>
    <n v="322"/>
    <n v="312"/>
    <s v="Below Detection Range"/>
    <n v="312"/>
    <x v="369"/>
    <n v="2.5134511089260001"/>
  </r>
  <r>
    <x v="18"/>
    <x v="5"/>
    <s v="C03"/>
    <n v="9"/>
    <m/>
    <n v="284"/>
    <n v="284"/>
    <n v="293"/>
    <s v="Below Fit Curve Range"/>
    <n v="292.5"/>
    <x v="14"/>
    <s v="NaN"/>
  </r>
  <r>
    <x v="18"/>
    <x v="5"/>
    <s v="C04"/>
    <n v="9"/>
    <m/>
    <n v="301"/>
    <n v="301"/>
    <n v="293"/>
    <s v="Below Detection Range"/>
    <n v="292.5"/>
    <x v="370"/>
    <s v="NaN"/>
  </r>
  <r>
    <x v="19"/>
    <x v="5"/>
    <s v="C06"/>
    <n v="9"/>
    <m/>
    <n v="317"/>
    <n v="317"/>
    <n v="322"/>
    <s v="Below Detection Range"/>
    <n v="322"/>
    <x v="371"/>
    <n v="4.0048809885391599"/>
  </r>
  <r>
    <x v="19"/>
    <x v="5"/>
    <s v="C05"/>
    <n v="9"/>
    <m/>
    <n v="327"/>
    <n v="327"/>
    <n v="322"/>
    <s v="Below Detection Range"/>
    <n v="322"/>
    <x v="372"/>
    <n v="4.0048809885391599"/>
  </r>
  <r>
    <x v="20"/>
    <x v="5"/>
    <s v="C08"/>
    <n v="9"/>
    <m/>
    <n v="298"/>
    <n v="298"/>
    <n v="302"/>
    <s v="Below Detection Range"/>
    <n v="302"/>
    <x v="373"/>
    <n v="0.93694888796031595"/>
  </r>
  <r>
    <x v="20"/>
    <x v="5"/>
    <s v="C07"/>
    <n v="9"/>
    <m/>
    <n v="306"/>
    <n v="306"/>
    <n v="302"/>
    <s v="Below Detection Range"/>
    <n v="302"/>
    <x v="363"/>
    <n v="0.93694888796031595"/>
  </r>
  <r>
    <x v="21"/>
    <x v="5"/>
    <s v="C09"/>
    <n v="9"/>
    <m/>
    <n v="299"/>
    <n v="299"/>
    <n v="308"/>
    <s v="Below Detection Range"/>
    <n v="307.5"/>
    <x v="374"/>
    <n v="1.8059417871596899"/>
  </r>
  <r>
    <x v="21"/>
    <x v="5"/>
    <s v="C10"/>
    <n v="9"/>
    <m/>
    <n v="316"/>
    <n v="316"/>
    <n v="308"/>
    <s v="Below Detection Range"/>
    <n v="307.5"/>
    <x v="375"/>
    <n v="1.8059417871596899"/>
  </r>
  <r>
    <x v="22"/>
    <x v="5"/>
    <s v="C12"/>
    <n v="9"/>
    <m/>
    <n v="317"/>
    <n v="317"/>
    <n v="304"/>
    <s v="Below Detection Range"/>
    <n v="304"/>
    <x v="371"/>
    <s v="NaN"/>
  </r>
  <r>
    <x v="22"/>
    <x v="5"/>
    <s v="C11"/>
    <n v="9"/>
    <m/>
    <n v="291"/>
    <n v="291"/>
    <n v="304"/>
    <s v="Below Fit Curve Range"/>
    <n v="304"/>
    <x v="14"/>
    <s v="NaN"/>
  </r>
  <r>
    <x v="23"/>
    <x v="5"/>
    <s v="D03"/>
    <n v="9"/>
    <m/>
    <n v="291"/>
    <n v="291"/>
    <n v="303"/>
    <s v="Below Fit Curve Range"/>
    <n v="303"/>
    <x v="14"/>
    <s v="NaN"/>
  </r>
  <r>
    <x v="23"/>
    <x v="5"/>
    <s v="D04"/>
    <n v="9"/>
    <m/>
    <n v="315"/>
    <n v="315"/>
    <n v="303"/>
    <s v="Below Detection Range"/>
    <n v="303"/>
    <x v="376"/>
    <s v="NaN"/>
  </r>
  <r>
    <x v="24"/>
    <x v="5"/>
    <s v="D05"/>
    <n v="9"/>
    <m/>
    <n v="317"/>
    <n v="317"/>
    <n v="316"/>
    <s v="Below Detection Range"/>
    <n v="315.5"/>
    <x v="371"/>
    <n v="3.1201531755080798"/>
  </r>
  <r>
    <x v="24"/>
    <x v="5"/>
    <s v="D06"/>
    <n v="9"/>
    <m/>
    <n v="314"/>
    <n v="314"/>
    <n v="316"/>
    <s v="Below Detection Range"/>
    <n v="315.5"/>
    <x v="377"/>
    <n v="3.1201531755080798"/>
  </r>
  <r>
    <x v="25"/>
    <x v="5"/>
    <s v="D07"/>
    <n v="9"/>
    <m/>
    <n v="293"/>
    <n v="293"/>
    <n v="298"/>
    <s v="Below Fit Curve Range"/>
    <n v="297.5"/>
    <x v="14"/>
    <s v="NaN"/>
  </r>
  <r>
    <x v="25"/>
    <x v="5"/>
    <s v="D08"/>
    <n v="9"/>
    <m/>
    <n v="302"/>
    <n v="302"/>
    <n v="298"/>
    <s v="Below Detection Range"/>
    <n v="297.5"/>
    <x v="359"/>
    <s v="NaN"/>
  </r>
  <r>
    <x v="26"/>
    <x v="5"/>
    <s v="D09"/>
    <n v="9"/>
    <m/>
    <n v="309"/>
    <n v="309"/>
    <n v="312"/>
    <s v="Below Detection Range"/>
    <n v="311.5"/>
    <x v="378"/>
    <n v="2.5361896483395099"/>
  </r>
  <r>
    <x v="26"/>
    <x v="5"/>
    <s v="D10"/>
    <n v="9"/>
    <m/>
    <n v="314"/>
    <n v="314"/>
    <n v="312"/>
    <s v="Below Detection Range"/>
    <n v="311.5"/>
    <x v="377"/>
    <n v="2.5361896483395099"/>
  </r>
  <r>
    <x v="27"/>
    <x v="5"/>
    <s v="D11"/>
    <n v="9"/>
    <m/>
    <n v="295"/>
    <n v="295"/>
    <n v="290"/>
    <s v="Below Fit Curve Range"/>
    <n v="290"/>
    <x v="14"/>
    <s v="NaN"/>
  </r>
  <r>
    <x v="27"/>
    <x v="5"/>
    <s v="D12"/>
    <n v="9"/>
    <m/>
    <n v="285"/>
    <n v="285"/>
    <n v="290"/>
    <s v="Below Fit Curve Range"/>
    <n v="290"/>
    <x v="14"/>
    <s v="NaN"/>
  </r>
  <r>
    <x v="28"/>
    <x v="5"/>
    <s v="E03"/>
    <n v="9"/>
    <m/>
    <n v="298"/>
    <n v="298"/>
    <n v="293"/>
    <s v="Below Detection Range"/>
    <n v="293"/>
    <x v="373"/>
    <s v="NaN"/>
  </r>
  <r>
    <x v="28"/>
    <x v="5"/>
    <s v="E04"/>
    <n v="9"/>
    <m/>
    <n v="288"/>
    <n v="288"/>
    <n v="293"/>
    <s v="Below Fit Curve Range"/>
    <n v="293"/>
    <x v="14"/>
    <s v="NaN"/>
  </r>
  <r>
    <x v="29"/>
    <x v="5"/>
    <s v="E06"/>
    <n v="9"/>
    <m/>
    <n v="283"/>
    <n v="283"/>
    <n v="281"/>
    <s v="Below Fit Curve Range"/>
    <n v="280.5"/>
    <x v="14"/>
    <s v="NaN"/>
  </r>
  <r>
    <x v="29"/>
    <x v="5"/>
    <s v="E05"/>
    <n v="9"/>
    <m/>
    <n v="278"/>
    <n v="278"/>
    <n v="281"/>
    <s v="Below Fit Curve Range"/>
    <n v="280.5"/>
    <x v="14"/>
    <s v="NaN"/>
  </r>
  <r>
    <x v="30"/>
    <x v="5"/>
    <s v="E08"/>
    <n v="9"/>
    <m/>
    <n v="315"/>
    <n v="315"/>
    <n v="307"/>
    <s v="Below Detection Range"/>
    <n v="306.5"/>
    <x v="376"/>
    <n v="1.6162138391826499"/>
  </r>
  <r>
    <x v="30"/>
    <x v="5"/>
    <s v="E07"/>
    <n v="9"/>
    <m/>
    <n v="298"/>
    <n v="298"/>
    <n v="307"/>
    <s v="Below Detection Range"/>
    <n v="306.5"/>
    <x v="373"/>
    <n v="1.6162138391826499"/>
  </r>
  <r>
    <x v="31"/>
    <x v="5"/>
    <s v="E09"/>
    <n v="9"/>
    <m/>
    <n v="283"/>
    <n v="283"/>
    <n v="285"/>
    <s v="Below Fit Curve Range"/>
    <n v="285"/>
    <x v="14"/>
    <s v="NaN"/>
  </r>
  <r>
    <x v="31"/>
    <x v="5"/>
    <s v="E10"/>
    <n v="9"/>
    <m/>
    <n v="287"/>
    <n v="287"/>
    <n v="285"/>
    <s v="Below Fit Curve Range"/>
    <n v="285"/>
    <x v="14"/>
    <s v="NaN"/>
  </r>
  <r>
    <x v="32"/>
    <x v="5"/>
    <s v="E12"/>
    <n v="9"/>
    <m/>
    <n v="296"/>
    <n v="296"/>
    <n v="294"/>
    <s v="Below Fit Curve Range"/>
    <n v="293.5"/>
    <x v="14"/>
    <s v="NaN"/>
  </r>
  <r>
    <x v="32"/>
    <x v="5"/>
    <s v="E11"/>
    <n v="9"/>
    <m/>
    <n v="291"/>
    <n v="291"/>
    <n v="294"/>
    <s v="Below Fit Curve Range"/>
    <n v="293.5"/>
    <x v="14"/>
    <s v="NaN"/>
  </r>
  <r>
    <x v="33"/>
    <x v="5"/>
    <s v="F03"/>
    <n v="9"/>
    <m/>
    <n v="281"/>
    <n v="281"/>
    <n v="286"/>
    <s v="Below Fit Curve Range"/>
    <n v="286"/>
    <x v="14"/>
    <s v="NaN"/>
  </r>
  <r>
    <x v="33"/>
    <x v="5"/>
    <s v="F04"/>
    <n v="9"/>
    <m/>
    <n v="291"/>
    <n v="291"/>
    <n v="286"/>
    <s v="Below Fit Curve Range"/>
    <n v="286"/>
    <x v="14"/>
    <s v="NaN"/>
  </r>
  <r>
    <x v="34"/>
    <x v="5"/>
    <s v="F06"/>
    <n v="9"/>
    <m/>
    <n v="292"/>
    <n v="292"/>
    <n v="294"/>
    <s v="Below Fit Curve Range"/>
    <n v="294"/>
    <x v="14"/>
    <s v="NaN"/>
  </r>
  <r>
    <x v="34"/>
    <x v="5"/>
    <s v="F05"/>
    <n v="9"/>
    <m/>
    <n v="296"/>
    <n v="296"/>
    <n v="294"/>
    <s v="Below Fit Curve Range"/>
    <n v="294"/>
    <x v="14"/>
    <s v="NaN"/>
  </r>
  <r>
    <x v="35"/>
    <x v="5"/>
    <s v="F08"/>
    <n v="9"/>
    <m/>
    <n v="287"/>
    <n v="287"/>
    <n v="292"/>
    <s v="Below Fit Curve Range"/>
    <n v="291.5"/>
    <x v="14"/>
    <s v="NaN"/>
  </r>
  <r>
    <x v="35"/>
    <x v="5"/>
    <s v="F07"/>
    <n v="9"/>
    <m/>
    <n v="296"/>
    <n v="296"/>
    <n v="292"/>
    <s v="Below Fit Curve Range"/>
    <n v="291.5"/>
    <x v="14"/>
    <s v="NaN"/>
  </r>
  <r>
    <x v="36"/>
    <x v="5"/>
    <s v="F09"/>
    <n v="9"/>
    <m/>
    <n v="313"/>
    <n v="313"/>
    <n v="306"/>
    <s v="Below Detection Range"/>
    <n v="306"/>
    <x v="379"/>
    <n v="1.5909942624289299"/>
  </r>
  <r>
    <x v="36"/>
    <x v="5"/>
    <s v="F10"/>
    <n v="9"/>
    <m/>
    <n v="299"/>
    <n v="299"/>
    <n v="306"/>
    <s v="Below Detection Range"/>
    <n v="306"/>
    <x v="374"/>
    <n v="1.5909942624289299"/>
  </r>
  <r>
    <x v="37"/>
    <x v="5"/>
    <s v="F11"/>
    <n v="9"/>
    <m/>
    <n v="329"/>
    <n v="329"/>
    <n v="341"/>
    <s v="Below Detection Range"/>
    <n v="341"/>
    <x v="380"/>
    <n v="6.3919684809238699"/>
  </r>
  <r>
    <x v="37"/>
    <x v="5"/>
    <s v="F12"/>
    <n v="9"/>
    <m/>
    <n v="353"/>
    <n v="353"/>
    <n v="341"/>
    <s v="In Detection Range"/>
    <n v="341"/>
    <x v="356"/>
    <n v="6.3919684809238699"/>
  </r>
  <r>
    <x v="38"/>
    <x v="5"/>
    <s v="G04"/>
    <n v="9"/>
    <m/>
    <n v="295"/>
    <n v="295"/>
    <n v="298"/>
    <s v="Below Fit Curve Range"/>
    <n v="297.5"/>
    <x v="14"/>
    <s v="NaN"/>
  </r>
  <r>
    <x v="38"/>
    <x v="5"/>
    <s v="G03"/>
    <n v="9"/>
    <m/>
    <n v="300"/>
    <n v="300"/>
    <n v="298"/>
    <s v="Below Detection Range"/>
    <n v="297.5"/>
    <x v="358"/>
    <s v="NaN"/>
  </r>
  <r>
    <x v="39"/>
    <x v="5"/>
    <s v="G06"/>
    <n v="9"/>
    <m/>
    <n v="304"/>
    <n v="304"/>
    <n v="304"/>
    <s v="Below Detection Range"/>
    <n v="303.5"/>
    <x v="360"/>
    <n v="1.27412300978836"/>
  </r>
  <r>
    <x v="39"/>
    <x v="5"/>
    <s v="G05"/>
    <n v="9"/>
    <m/>
    <n v="303"/>
    <n v="303"/>
    <n v="304"/>
    <s v="Below Detection Range"/>
    <n v="303.5"/>
    <x v="381"/>
    <n v="1.27412300978836"/>
  </r>
  <r>
    <x v="40"/>
    <x v="5"/>
    <s v="G08"/>
    <n v="9"/>
    <m/>
    <n v="287"/>
    <n v="287"/>
    <n v="282"/>
    <s v="Below Fit Curve Range"/>
    <n v="282"/>
    <x v="14"/>
    <s v="NaN"/>
  </r>
  <r>
    <x v="40"/>
    <x v="5"/>
    <s v="G07"/>
    <n v="9"/>
    <m/>
    <n v="277"/>
    <n v="277"/>
    <n v="282"/>
    <s v="Below Fit Curve Range"/>
    <n v="282"/>
    <x v="14"/>
    <s v="NaN"/>
  </r>
  <r>
    <x v="41"/>
    <x v="5"/>
    <s v="G09"/>
    <n v="9"/>
    <m/>
    <n v="345"/>
    <n v="345"/>
    <n v="342"/>
    <s v="In Detection Range"/>
    <n v="342"/>
    <x v="382"/>
    <n v="6.5471284915137602"/>
  </r>
  <r>
    <x v="41"/>
    <x v="5"/>
    <s v="G10"/>
    <n v="9"/>
    <m/>
    <n v="339"/>
    <n v="339"/>
    <n v="342"/>
    <s v="In Detection Range"/>
    <n v="342"/>
    <x v="383"/>
    <n v="6.5471284915137602"/>
  </r>
  <r>
    <x v="42"/>
    <x v="5"/>
    <s v="G12"/>
    <n v="9"/>
    <m/>
    <n v="335"/>
    <n v="335"/>
    <n v="339"/>
    <s v="In Detection Range"/>
    <n v="338.5"/>
    <x v="384"/>
    <n v="6.1208845234541798"/>
  </r>
  <r>
    <x v="42"/>
    <x v="5"/>
    <s v="G11"/>
    <n v="9"/>
    <m/>
    <n v="342"/>
    <n v="342"/>
    <n v="339"/>
    <s v="In Detection Range"/>
    <n v="338.5"/>
    <x v="385"/>
    <n v="6.1208845234541798"/>
  </r>
  <r>
    <x v="43"/>
    <x v="5"/>
    <s v="H04"/>
    <n v="9"/>
    <m/>
    <n v="302"/>
    <n v="302"/>
    <n v="297"/>
    <s v="Below Detection Range"/>
    <n v="297"/>
    <x v="359"/>
    <s v="NaN"/>
  </r>
  <r>
    <x v="43"/>
    <x v="5"/>
    <s v="H03"/>
    <n v="9"/>
    <m/>
    <n v="292"/>
    <n v="292"/>
    <n v="297"/>
    <s v="Below Fit Curve Range"/>
    <n v="297"/>
    <x v="14"/>
    <s v="NaN"/>
  </r>
  <r>
    <x v="44"/>
    <x v="5"/>
    <s v="H05"/>
    <n v="9"/>
    <m/>
    <n v="297"/>
    <n v="297"/>
    <n v="296"/>
    <s v="Below Fit Curve Range"/>
    <n v="296"/>
    <x v="14"/>
    <s v="NaN"/>
  </r>
  <r>
    <x v="44"/>
    <x v="5"/>
    <s v="H06"/>
    <n v="9"/>
    <m/>
    <n v="295"/>
    <n v="295"/>
    <n v="296"/>
    <s v="Below Fit Curve Range"/>
    <n v="296"/>
    <x v="14"/>
    <s v="NaN"/>
  </r>
  <r>
    <x v="45"/>
    <x v="5"/>
    <s v="H07"/>
    <n v="9"/>
    <m/>
    <n v="308"/>
    <n v="308"/>
    <n v="304"/>
    <s v="Below Detection Range"/>
    <n v="303.5"/>
    <x v="365"/>
    <n v="1.2147742980534699"/>
  </r>
  <r>
    <x v="45"/>
    <x v="5"/>
    <s v="H08"/>
    <n v="9"/>
    <m/>
    <n v="299"/>
    <n v="299"/>
    <n v="304"/>
    <s v="Below Detection Range"/>
    <n v="303.5"/>
    <x v="374"/>
    <n v="1.2147742980534699"/>
  </r>
  <r>
    <x v="46"/>
    <x v="5"/>
    <s v="H10"/>
    <n v="9"/>
    <m/>
    <n v="327"/>
    <n v="327"/>
    <n v="335"/>
    <s v="Below Detection Range"/>
    <n v="334.5"/>
    <x v="372"/>
    <n v="5.613083898348"/>
  </r>
  <r>
    <x v="46"/>
    <x v="5"/>
    <s v="H09"/>
    <n v="9"/>
    <m/>
    <n v="342"/>
    <n v="342"/>
    <n v="335"/>
    <s v="In Detection Range"/>
    <n v="334.5"/>
    <x v="385"/>
    <n v="5.613083898348"/>
  </r>
  <r>
    <x v="47"/>
    <x v="5"/>
    <s v="H12"/>
    <n v="9"/>
    <m/>
    <n v="379"/>
    <n v="379"/>
    <n v="366"/>
    <s v="In Detection Range"/>
    <n v="365.5"/>
    <x v="386"/>
    <n v="9.2439341889673301"/>
  </r>
  <r>
    <x v="47"/>
    <x v="5"/>
    <s v="H11"/>
    <n v="9"/>
    <m/>
    <n v="352"/>
    <n v="352"/>
    <n v="366"/>
    <s v="In Detection Range"/>
    <n v="365.5"/>
    <x v="387"/>
    <n v="9.2439341889673301"/>
  </r>
  <r>
    <x v="0"/>
    <x v="6"/>
    <s v="A02"/>
    <n v="10"/>
    <n v="622"/>
    <n v="799314"/>
    <n v="799314"/>
    <n v="782436"/>
    <s v="Above Fit Curve Range"/>
    <n v="782436"/>
    <x v="388"/>
    <n v="623.70612403602502"/>
  </r>
  <r>
    <x v="0"/>
    <x v="6"/>
    <s v="A01"/>
    <n v="10"/>
    <n v="622"/>
    <n v="765558"/>
    <n v="765558"/>
    <n v="782436"/>
    <s v="In Detection Range"/>
    <n v="782436"/>
    <x v="389"/>
    <n v="623.70612403602502"/>
  </r>
  <r>
    <x v="1"/>
    <x v="6"/>
    <s v="B01"/>
    <n v="10"/>
    <n v="155.5"/>
    <n v="209984"/>
    <n v="209984"/>
    <n v="211529"/>
    <s v="In Detection Range"/>
    <n v="211529"/>
    <x v="390"/>
    <n v="154.19329288007401"/>
  </r>
  <r>
    <x v="1"/>
    <x v="6"/>
    <s v="B02"/>
    <n v="10"/>
    <n v="155.5"/>
    <n v="213074"/>
    <n v="213074"/>
    <n v="211529"/>
    <s v="In Detection Range"/>
    <n v="211529"/>
    <x v="391"/>
    <n v="154.19329288007401"/>
  </r>
  <r>
    <x v="2"/>
    <x v="6"/>
    <s v="C02"/>
    <n v="10"/>
    <n v="38.875"/>
    <n v="53283"/>
    <n v="53283"/>
    <n v="53568"/>
    <s v="In Detection Range"/>
    <n v="53567.5"/>
    <x v="392"/>
    <n v="38.706891313730303"/>
  </r>
  <r>
    <x v="2"/>
    <x v="6"/>
    <s v="C01"/>
    <n v="10"/>
    <n v="38.875"/>
    <n v="53852"/>
    <n v="53852"/>
    <n v="53568"/>
    <s v="In Detection Range"/>
    <n v="53567.5"/>
    <x v="393"/>
    <n v="38.706891313730303"/>
  </r>
  <r>
    <x v="3"/>
    <x v="6"/>
    <s v="D01"/>
    <n v="10"/>
    <n v="9.71875"/>
    <n v="13667"/>
    <n v="13667"/>
    <n v="13658"/>
    <s v="In Detection Range"/>
    <n v="13658"/>
    <x v="394"/>
    <n v="9.9005154183676805"/>
  </r>
  <r>
    <x v="3"/>
    <x v="6"/>
    <s v="D02"/>
    <n v="10"/>
    <n v="9.71875"/>
    <n v="13649"/>
    <n v="13649"/>
    <n v="13658"/>
    <s v="In Detection Range"/>
    <n v="13658"/>
    <x v="395"/>
    <n v="9.9005154183676805"/>
  </r>
  <r>
    <x v="4"/>
    <x v="6"/>
    <s v="E02"/>
    <n v="10"/>
    <n v="2.4296875"/>
    <n v="3413"/>
    <n v="3413"/>
    <n v="3409"/>
    <s v="In Detection Range"/>
    <n v="3409"/>
    <x v="396"/>
    <n v="2.3961271284058099"/>
  </r>
  <r>
    <x v="4"/>
    <x v="6"/>
    <s v="E01"/>
    <n v="10"/>
    <n v="2.4296875"/>
    <n v="3405"/>
    <n v="3405"/>
    <n v="3409"/>
    <s v="In Detection Range"/>
    <n v="3409"/>
    <x v="397"/>
    <n v="2.3961271284058099"/>
  </r>
  <r>
    <x v="5"/>
    <x v="6"/>
    <s v="F02"/>
    <n v="10"/>
    <n v="0.607421875"/>
    <n v="1016"/>
    <n v="1016"/>
    <n v="1043"/>
    <s v="In Detection Range"/>
    <n v="1042.5"/>
    <x v="398"/>
    <n v="0.62588507447337305"/>
  </r>
  <r>
    <x v="5"/>
    <x v="6"/>
    <s v="F01"/>
    <n v="10"/>
    <n v="0.607421875"/>
    <n v="1069"/>
    <n v="1069"/>
    <n v="1043"/>
    <s v="In Detection Range"/>
    <n v="1042.5"/>
    <x v="399"/>
    <n v="0.62588507447337305"/>
  </r>
  <r>
    <x v="6"/>
    <x v="6"/>
    <s v="G02"/>
    <n v="10"/>
    <n v="0.15185546875"/>
    <n v="426"/>
    <n v="426"/>
    <n v="412"/>
    <s v="In Detection Range"/>
    <n v="412"/>
    <x v="400"/>
    <n v="0.143363639558965"/>
  </r>
  <r>
    <x v="6"/>
    <x v="6"/>
    <s v="G01"/>
    <n v="10"/>
    <n v="0.15185546875"/>
    <n v="398"/>
    <n v="398"/>
    <n v="412"/>
    <s v="In Detection Range"/>
    <n v="412"/>
    <x v="401"/>
    <n v="0.143363639558965"/>
  </r>
  <r>
    <x v="7"/>
    <x v="6"/>
    <s v="H02"/>
    <n v="10"/>
    <n v="0"/>
    <n v="225"/>
    <n v="225"/>
    <n v="233"/>
    <s v="Below Fit Curve Range"/>
    <n v="233"/>
    <x v="14"/>
    <s v="NaN"/>
  </r>
  <r>
    <x v="7"/>
    <x v="6"/>
    <s v="H01"/>
    <n v="10"/>
    <n v="0"/>
    <n v="241"/>
    <n v="241"/>
    <n v="233"/>
    <s v="Below Detection Range"/>
    <n v="233"/>
    <x v="402"/>
    <s v="NaN"/>
  </r>
  <r>
    <x v="8"/>
    <x v="6"/>
    <s v="A03"/>
    <n v="10"/>
    <m/>
    <n v="309"/>
    <n v="309"/>
    <n v="336"/>
    <s v="In Detection Range"/>
    <n v="335.5"/>
    <x v="403"/>
    <n v="8.3629832215762798E-2"/>
  </r>
  <r>
    <x v="8"/>
    <x v="6"/>
    <s v="A04"/>
    <n v="10"/>
    <m/>
    <n v="362"/>
    <n v="362"/>
    <n v="336"/>
    <s v="In Detection Range"/>
    <n v="335.5"/>
    <x v="404"/>
    <n v="8.3629832215762798E-2"/>
  </r>
  <r>
    <x v="9"/>
    <x v="6"/>
    <s v="A06"/>
    <n v="10"/>
    <m/>
    <n v="300"/>
    <n v="300"/>
    <n v="303"/>
    <s v="In Detection Range"/>
    <n v="303"/>
    <x v="405"/>
    <n v="5.81119855099596E-2"/>
  </r>
  <r>
    <x v="9"/>
    <x v="6"/>
    <s v="A05"/>
    <n v="10"/>
    <m/>
    <n v="306"/>
    <n v="306"/>
    <n v="303"/>
    <s v="In Detection Range"/>
    <n v="303"/>
    <x v="406"/>
    <n v="5.81119855099596E-2"/>
  </r>
  <r>
    <x v="10"/>
    <x v="6"/>
    <s v="A07"/>
    <n v="10"/>
    <m/>
    <n v="785"/>
    <n v="785"/>
    <n v="777"/>
    <s v="In Detection Range"/>
    <n v="777"/>
    <x v="407"/>
    <n v="0.42398861287637002"/>
  </r>
  <r>
    <x v="10"/>
    <x v="6"/>
    <s v="A08"/>
    <n v="10"/>
    <m/>
    <n v="769"/>
    <n v="769"/>
    <n v="777"/>
    <s v="In Detection Range"/>
    <n v="777"/>
    <x v="408"/>
    <n v="0.42398861287637002"/>
  </r>
  <r>
    <x v="11"/>
    <x v="6"/>
    <s v="A09"/>
    <n v="10"/>
    <m/>
    <n v="239"/>
    <n v="239"/>
    <n v="247"/>
    <s v="Below Detection Range"/>
    <n v="247"/>
    <x v="409"/>
    <n v="1.34794132358703E-2"/>
  </r>
  <r>
    <x v="11"/>
    <x v="6"/>
    <s v="A10"/>
    <n v="10"/>
    <m/>
    <n v="255"/>
    <n v="255"/>
    <n v="247"/>
    <s v="Below Detection Range"/>
    <n v="247"/>
    <x v="410"/>
    <n v="1.34794132358703E-2"/>
  </r>
  <r>
    <x v="12"/>
    <x v="6"/>
    <s v="A12"/>
    <n v="10"/>
    <m/>
    <n v="255"/>
    <n v="255"/>
    <n v="266"/>
    <s v="Below Detection Range"/>
    <n v="266"/>
    <x v="410"/>
    <n v="2.8740485074257801E-2"/>
  </r>
  <r>
    <x v="12"/>
    <x v="6"/>
    <s v="A11"/>
    <n v="10"/>
    <m/>
    <n v="277"/>
    <n v="277"/>
    <n v="266"/>
    <s v="In Detection Range"/>
    <n v="266"/>
    <x v="411"/>
    <n v="2.8740485074257801E-2"/>
  </r>
  <r>
    <x v="13"/>
    <x v="6"/>
    <s v="B04"/>
    <n v="10"/>
    <m/>
    <n v="636"/>
    <n v="636"/>
    <n v="633"/>
    <s v="In Detection Range"/>
    <n v="632.5"/>
    <x v="412"/>
    <n v="0.31345682333873098"/>
  </r>
  <r>
    <x v="13"/>
    <x v="6"/>
    <s v="B03"/>
    <n v="10"/>
    <m/>
    <n v="629"/>
    <n v="629"/>
    <n v="633"/>
    <s v="In Detection Range"/>
    <n v="632.5"/>
    <x v="413"/>
    <n v="0.31345682333873098"/>
  </r>
  <r>
    <x v="14"/>
    <x v="6"/>
    <s v="B05"/>
    <n v="10"/>
    <m/>
    <n v="786"/>
    <n v="786"/>
    <n v="791"/>
    <s v="In Detection Range"/>
    <n v="791"/>
    <x v="414"/>
    <n v="0.43467016766036998"/>
  </r>
  <r>
    <x v="14"/>
    <x v="6"/>
    <s v="B06"/>
    <n v="10"/>
    <m/>
    <n v="796"/>
    <n v="796"/>
    <n v="791"/>
    <s v="In Detection Range"/>
    <n v="791"/>
    <x v="415"/>
    <n v="0.43467016766036998"/>
  </r>
  <r>
    <x v="15"/>
    <x v="6"/>
    <s v="B08"/>
    <n v="10"/>
    <m/>
    <n v="476"/>
    <n v="476"/>
    <n v="462"/>
    <s v="In Detection Range"/>
    <n v="462"/>
    <x v="416"/>
    <n v="0.18214020426095601"/>
  </r>
  <r>
    <x v="15"/>
    <x v="6"/>
    <s v="B07"/>
    <n v="10"/>
    <m/>
    <n v="448"/>
    <n v="448"/>
    <n v="462"/>
    <s v="In Detection Range"/>
    <n v="462"/>
    <x v="417"/>
    <n v="0.18214020426095601"/>
  </r>
  <r>
    <x v="16"/>
    <x v="6"/>
    <s v="B09"/>
    <n v="10"/>
    <m/>
    <n v="307"/>
    <n v="307"/>
    <n v="299"/>
    <s v="In Detection Range"/>
    <n v="299"/>
    <x v="418"/>
    <n v="5.4948887340131099E-2"/>
  </r>
  <r>
    <x v="16"/>
    <x v="6"/>
    <s v="B10"/>
    <n v="10"/>
    <m/>
    <n v="291"/>
    <n v="291"/>
    <n v="299"/>
    <s v="In Detection Range"/>
    <n v="299"/>
    <x v="419"/>
    <n v="5.4948887340131099E-2"/>
  </r>
  <r>
    <x v="17"/>
    <x v="6"/>
    <s v="B12"/>
    <n v="10"/>
    <m/>
    <n v="391"/>
    <n v="391"/>
    <n v="392"/>
    <s v="In Detection Range"/>
    <n v="392"/>
    <x v="420"/>
    <n v="0.12781320141258901"/>
  </r>
  <r>
    <x v="17"/>
    <x v="6"/>
    <s v="B11"/>
    <n v="10"/>
    <m/>
    <n v="393"/>
    <n v="393"/>
    <n v="392"/>
    <s v="In Detection Range"/>
    <n v="392"/>
    <x v="421"/>
    <n v="0.12781320141258901"/>
  </r>
  <r>
    <x v="18"/>
    <x v="6"/>
    <s v="C03"/>
    <n v="10"/>
    <m/>
    <n v="310"/>
    <n v="310"/>
    <n v="311"/>
    <s v="In Detection Range"/>
    <n v="310.5"/>
    <x v="422"/>
    <n v="6.4025886039728294E-2"/>
  </r>
  <r>
    <x v="18"/>
    <x v="6"/>
    <s v="C04"/>
    <n v="10"/>
    <m/>
    <n v="311"/>
    <n v="311"/>
    <n v="311"/>
    <s v="In Detection Range"/>
    <n v="310.5"/>
    <x v="423"/>
    <n v="6.4025886039728294E-2"/>
  </r>
  <r>
    <x v="19"/>
    <x v="6"/>
    <s v="C06"/>
    <n v="10"/>
    <m/>
    <n v="842"/>
    <n v="842"/>
    <n v="843"/>
    <s v="In Detection Range"/>
    <n v="842.5"/>
    <x v="424"/>
    <n v="0.473924697682445"/>
  </r>
  <r>
    <x v="19"/>
    <x v="6"/>
    <s v="C05"/>
    <n v="10"/>
    <m/>
    <n v="843"/>
    <n v="843"/>
    <n v="843"/>
    <s v="In Detection Range"/>
    <n v="842.5"/>
    <x v="425"/>
    <n v="0.473924697682445"/>
  </r>
  <r>
    <x v="20"/>
    <x v="6"/>
    <s v="C08"/>
    <n v="10"/>
    <m/>
    <n v="504"/>
    <n v="504"/>
    <n v="478"/>
    <s v="In Detection Range"/>
    <n v="477.5"/>
    <x v="426"/>
    <n v="0.194117899894377"/>
  </r>
  <r>
    <x v="20"/>
    <x v="6"/>
    <s v="C07"/>
    <n v="10"/>
    <m/>
    <n v="451"/>
    <n v="451"/>
    <n v="478"/>
    <s v="In Detection Range"/>
    <n v="477.5"/>
    <x v="427"/>
    <n v="0.194117899894377"/>
  </r>
  <r>
    <x v="21"/>
    <x v="6"/>
    <s v="C09"/>
    <n v="10"/>
    <m/>
    <n v="314"/>
    <n v="314"/>
    <n v="319"/>
    <s v="In Detection Range"/>
    <n v="318.5"/>
    <x v="428"/>
    <n v="7.0321563064299597E-2"/>
  </r>
  <r>
    <x v="21"/>
    <x v="6"/>
    <s v="C10"/>
    <n v="10"/>
    <m/>
    <n v="323"/>
    <n v="323"/>
    <n v="319"/>
    <s v="In Detection Range"/>
    <n v="318.5"/>
    <x v="429"/>
    <n v="7.0321563064299597E-2"/>
  </r>
  <r>
    <x v="22"/>
    <x v="6"/>
    <s v="C12"/>
    <n v="10"/>
    <m/>
    <n v="1403"/>
    <n v="1403"/>
    <n v="1339"/>
    <s v="In Detection Range"/>
    <n v="1339"/>
    <x v="430"/>
    <n v="0.85006025303039701"/>
  </r>
  <r>
    <x v="22"/>
    <x v="6"/>
    <s v="C11"/>
    <n v="10"/>
    <m/>
    <n v="1275"/>
    <n v="1275"/>
    <n v="1339"/>
    <s v="In Detection Range"/>
    <n v="1339"/>
    <x v="431"/>
    <n v="0.85006025303039701"/>
  </r>
  <r>
    <x v="23"/>
    <x v="6"/>
    <s v="D04"/>
    <n v="10"/>
    <m/>
    <n v="327"/>
    <n v="327"/>
    <n v="322"/>
    <s v="In Detection Range"/>
    <n v="322"/>
    <x v="432"/>
    <n v="7.3073243980093794E-2"/>
  </r>
  <r>
    <x v="23"/>
    <x v="6"/>
    <s v="D03"/>
    <n v="10"/>
    <m/>
    <n v="317"/>
    <n v="317"/>
    <n v="322"/>
    <s v="In Detection Range"/>
    <n v="322"/>
    <x v="433"/>
    <n v="7.3073243980093794E-2"/>
  </r>
  <r>
    <x v="24"/>
    <x v="6"/>
    <s v="D05"/>
    <n v="10"/>
    <m/>
    <n v="724"/>
    <n v="724"/>
    <n v="706"/>
    <s v="In Detection Range"/>
    <n v="706"/>
    <x v="434"/>
    <n v="0.36974462343445402"/>
  </r>
  <r>
    <x v="24"/>
    <x v="6"/>
    <s v="D06"/>
    <n v="10"/>
    <m/>
    <n v="688"/>
    <n v="688"/>
    <n v="706"/>
    <s v="In Detection Range"/>
    <n v="706"/>
    <x v="435"/>
    <n v="0.36974462343445402"/>
  </r>
  <r>
    <x v="25"/>
    <x v="6"/>
    <s v="D07"/>
    <n v="10"/>
    <m/>
    <n v="272"/>
    <n v="272"/>
    <n v="274"/>
    <s v="In Detection Range"/>
    <n v="273.5"/>
    <x v="436"/>
    <n v="3.4742180743685402E-2"/>
  </r>
  <r>
    <x v="25"/>
    <x v="6"/>
    <s v="D08"/>
    <n v="10"/>
    <m/>
    <n v="275"/>
    <n v="275"/>
    <n v="274"/>
    <s v="In Detection Range"/>
    <n v="273.5"/>
    <x v="437"/>
    <n v="3.4742180743685402E-2"/>
  </r>
  <r>
    <x v="26"/>
    <x v="6"/>
    <s v="D09"/>
    <n v="10"/>
    <m/>
    <n v="446"/>
    <n v="446"/>
    <n v="430"/>
    <s v="In Detection Range"/>
    <n v="429.5"/>
    <x v="438"/>
    <n v="0.156951030466046"/>
  </r>
  <r>
    <x v="26"/>
    <x v="6"/>
    <s v="D10"/>
    <n v="10"/>
    <m/>
    <n v="413"/>
    <n v="413"/>
    <n v="430"/>
    <s v="In Detection Range"/>
    <n v="429.5"/>
    <x v="439"/>
    <n v="0.156951030466046"/>
  </r>
  <r>
    <x v="27"/>
    <x v="6"/>
    <s v="D11"/>
    <n v="10"/>
    <m/>
    <n v="486"/>
    <n v="486"/>
    <n v="484"/>
    <s v="In Detection Range"/>
    <n v="483.5"/>
    <x v="440"/>
    <n v="0.198774079907791"/>
  </r>
  <r>
    <x v="27"/>
    <x v="6"/>
    <s v="D12"/>
    <n v="10"/>
    <m/>
    <n v="481"/>
    <n v="481"/>
    <n v="484"/>
    <s v="In Detection Range"/>
    <n v="483.5"/>
    <x v="441"/>
    <n v="0.198774079907791"/>
  </r>
  <r>
    <x v="28"/>
    <x v="6"/>
    <s v="E03"/>
    <n v="10"/>
    <m/>
    <n v="1010"/>
    <n v="1010"/>
    <n v="1006"/>
    <s v="In Detection Range"/>
    <n v="1005.5"/>
    <x v="442"/>
    <n v="0.59782801049205103"/>
  </r>
  <r>
    <x v="28"/>
    <x v="6"/>
    <s v="E04"/>
    <n v="10"/>
    <m/>
    <n v="1001"/>
    <n v="1001"/>
    <n v="1006"/>
    <s v="In Detection Range"/>
    <n v="1005.5"/>
    <x v="443"/>
    <n v="0.59782801049205103"/>
  </r>
  <r>
    <x v="29"/>
    <x v="6"/>
    <s v="E06"/>
    <n v="10"/>
    <m/>
    <n v="652"/>
    <n v="652"/>
    <n v="666"/>
    <s v="In Detection Range"/>
    <n v="666"/>
    <x v="444"/>
    <n v="0.33913038897437298"/>
  </r>
  <r>
    <x v="29"/>
    <x v="6"/>
    <s v="E05"/>
    <n v="10"/>
    <m/>
    <n v="680"/>
    <n v="680"/>
    <n v="666"/>
    <s v="In Detection Range"/>
    <n v="666"/>
    <x v="445"/>
    <n v="0.33913038897437298"/>
  </r>
  <r>
    <x v="30"/>
    <x v="6"/>
    <s v="E07"/>
    <n v="10"/>
    <m/>
    <n v="706"/>
    <n v="706"/>
    <n v="719"/>
    <s v="In Detection Range"/>
    <n v="718.5"/>
    <x v="446"/>
    <n v="0.37930542480989499"/>
  </r>
  <r>
    <x v="30"/>
    <x v="6"/>
    <s v="E08"/>
    <n v="10"/>
    <m/>
    <n v="731"/>
    <n v="731"/>
    <n v="719"/>
    <s v="In Detection Range"/>
    <n v="718.5"/>
    <x v="447"/>
    <n v="0.37930542480989499"/>
  </r>
  <r>
    <x v="31"/>
    <x v="6"/>
    <s v="E09"/>
    <n v="10"/>
    <m/>
    <n v="1456"/>
    <n v="1456"/>
    <n v="1437"/>
    <s v="In Detection Range"/>
    <n v="1436.5"/>
    <x v="448"/>
    <n v="0.92357550157518598"/>
  </r>
  <r>
    <x v="31"/>
    <x v="6"/>
    <s v="E10"/>
    <n v="10"/>
    <m/>
    <n v="1417"/>
    <n v="1417"/>
    <n v="1437"/>
    <s v="In Detection Range"/>
    <n v="1436.5"/>
    <x v="449"/>
    <n v="0.92357550157518598"/>
  </r>
  <r>
    <x v="32"/>
    <x v="6"/>
    <s v="E12"/>
    <n v="10"/>
    <m/>
    <n v="7162"/>
    <n v="7162"/>
    <n v="6784"/>
    <s v="In Detection Range"/>
    <n v="6783.5"/>
    <x v="450"/>
    <n v="4.8837145941860296"/>
  </r>
  <r>
    <x v="32"/>
    <x v="6"/>
    <s v="E11"/>
    <n v="10"/>
    <m/>
    <n v="6405"/>
    <n v="6405"/>
    <n v="6784"/>
    <s v="In Detection Range"/>
    <n v="6783.5"/>
    <x v="451"/>
    <n v="4.8837145941860296"/>
  </r>
  <r>
    <x v="33"/>
    <x v="6"/>
    <s v="F04"/>
    <n v="10"/>
    <m/>
    <n v="254"/>
    <n v="254"/>
    <n v="265"/>
    <s v="Below Detection Range"/>
    <n v="264.5"/>
    <x v="452"/>
    <n v="2.75433978637258E-2"/>
  </r>
  <r>
    <x v="33"/>
    <x v="6"/>
    <s v="F03"/>
    <n v="10"/>
    <m/>
    <n v="275"/>
    <n v="275"/>
    <n v="265"/>
    <s v="In Detection Range"/>
    <n v="264.5"/>
    <x v="437"/>
    <n v="2.75433978637258E-2"/>
  </r>
  <r>
    <x v="34"/>
    <x v="6"/>
    <s v="F06"/>
    <n v="10"/>
    <m/>
    <n v="747"/>
    <n v="747"/>
    <n v="759"/>
    <s v="In Detection Range"/>
    <n v="759"/>
    <x v="453"/>
    <n v="0.41024815869313203"/>
  </r>
  <r>
    <x v="34"/>
    <x v="6"/>
    <s v="F05"/>
    <n v="10"/>
    <m/>
    <n v="771"/>
    <n v="771"/>
    <n v="759"/>
    <s v="In Detection Range"/>
    <n v="759"/>
    <x v="454"/>
    <n v="0.41024815869313203"/>
  </r>
  <r>
    <x v="35"/>
    <x v="6"/>
    <s v="F08"/>
    <n v="10"/>
    <m/>
    <n v="242"/>
    <n v="242"/>
    <n v="268"/>
    <s v="Below Detection Range"/>
    <n v="267.5"/>
    <x v="455"/>
    <n v="2.98319795088316E-2"/>
  </r>
  <r>
    <x v="35"/>
    <x v="6"/>
    <s v="F07"/>
    <n v="10"/>
    <m/>
    <n v="293"/>
    <n v="293"/>
    <n v="268"/>
    <s v="In Detection Range"/>
    <n v="267.5"/>
    <x v="456"/>
    <n v="2.98319795088316E-2"/>
  </r>
  <r>
    <x v="36"/>
    <x v="6"/>
    <s v="F09"/>
    <n v="10"/>
    <m/>
    <n v="472"/>
    <n v="472"/>
    <n v="457"/>
    <s v="In Detection Range"/>
    <n v="456.5"/>
    <x v="457"/>
    <n v="0.17788096131276901"/>
  </r>
  <r>
    <x v="36"/>
    <x v="6"/>
    <s v="F10"/>
    <n v="10"/>
    <m/>
    <n v="441"/>
    <n v="441"/>
    <n v="457"/>
    <s v="In Detection Range"/>
    <n v="456.5"/>
    <x v="458"/>
    <n v="0.17788096131276901"/>
  </r>
  <r>
    <x v="37"/>
    <x v="6"/>
    <s v="F12"/>
    <n v="10"/>
    <m/>
    <n v="276"/>
    <n v="276"/>
    <n v="289"/>
    <s v="In Detection Range"/>
    <n v="288.5"/>
    <x v="459"/>
    <n v="4.6632892863396398E-2"/>
  </r>
  <r>
    <x v="37"/>
    <x v="6"/>
    <s v="F11"/>
    <n v="10"/>
    <m/>
    <n v="301"/>
    <n v="301"/>
    <n v="289"/>
    <s v="In Detection Range"/>
    <n v="288.5"/>
    <x v="460"/>
    <n v="4.6632892863396398E-2"/>
  </r>
  <r>
    <x v="38"/>
    <x v="6"/>
    <s v="G04"/>
    <n v="10"/>
    <m/>
    <n v="320"/>
    <n v="320"/>
    <n v="301"/>
    <s v="In Detection Range"/>
    <n v="300.5"/>
    <x v="461"/>
    <n v="5.6103376956050499E-2"/>
  </r>
  <r>
    <x v="38"/>
    <x v="6"/>
    <s v="G03"/>
    <n v="10"/>
    <m/>
    <n v="281"/>
    <n v="281"/>
    <n v="301"/>
    <s v="In Detection Range"/>
    <n v="300.5"/>
    <x v="462"/>
    <n v="5.6103376956050499E-2"/>
  </r>
  <r>
    <x v="39"/>
    <x v="6"/>
    <s v="G06"/>
    <n v="10"/>
    <m/>
    <n v="719"/>
    <n v="719"/>
    <n v="637"/>
    <s v="In Detection Range"/>
    <n v="636.5"/>
    <x v="463"/>
    <n v="0.31641777063481602"/>
  </r>
  <r>
    <x v="39"/>
    <x v="6"/>
    <s v="G05"/>
    <n v="10"/>
    <m/>
    <n v="554"/>
    <n v="554"/>
    <n v="637"/>
    <s v="In Detection Range"/>
    <n v="636.5"/>
    <x v="464"/>
    <n v="0.31641777063481602"/>
  </r>
  <r>
    <x v="40"/>
    <x v="6"/>
    <s v="G08"/>
    <n v="10"/>
    <m/>
    <n v="358"/>
    <n v="358"/>
    <n v="347"/>
    <s v="In Detection Range"/>
    <n v="346.5"/>
    <x v="465"/>
    <n v="9.2285702918508003E-2"/>
  </r>
  <r>
    <x v="40"/>
    <x v="6"/>
    <s v="G07"/>
    <n v="10"/>
    <m/>
    <n v="335"/>
    <n v="335"/>
    <n v="347"/>
    <s v="In Detection Range"/>
    <n v="346.5"/>
    <x v="466"/>
    <n v="9.2285702918508003E-2"/>
  </r>
  <r>
    <x v="41"/>
    <x v="6"/>
    <s v="G09"/>
    <n v="10"/>
    <m/>
    <n v="265"/>
    <n v="265"/>
    <n v="264"/>
    <s v="Below Detection Range"/>
    <n v="263.5"/>
    <x v="467"/>
    <n v="2.6765629389869001E-2"/>
  </r>
  <r>
    <x v="41"/>
    <x v="6"/>
    <s v="G10"/>
    <n v="10"/>
    <m/>
    <n v="262"/>
    <n v="262"/>
    <n v="264"/>
    <s v="Below Detection Range"/>
    <n v="263.5"/>
    <x v="468"/>
    <n v="2.6765629389869001E-2"/>
  </r>
  <r>
    <x v="42"/>
    <x v="6"/>
    <s v="G12"/>
    <n v="10"/>
    <m/>
    <n v="281"/>
    <n v="281"/>
    <n v="278"/>
    <s v="In Detection Range"/>
    <n v="277.5"/>
    <x v="462"/>
    <n v="3.7922262754583498E-2"/>
  </r>
  <r>
    <x v="42"/>
    <x v="6"/>
    <s v="G11"/>
    <n v="10"/>
    <m/>
    <n v="274"/>
    <n v="274"/>
    <n v="278"/>
    <s v="In Detection Range"/>
    <n v="277.5"/>
    <x v="469"/>
    <n v="3.7922262754583498E-2"/>
  </r>
  <r>
    <x v="43"/>
    <x v="6"/>
    <s v="H04"/>
    <n v="10"/>
    <m/>
    <n v="1147"/>
    <n v="1147"/>
    <n v="1194"/>
    <s v="In Detection Range"/>
    <n v="1193.5"/>
    <x v="470"/>
    <n v="0.74019369261983303"/>
  </r>
  <r>
    <x v="43"/>
    <x v="6"/>
    <s v="H03"/>
    <n v="10"/>
    <m/>
    <n v="1240"/>
    <n v="1240"/>
    <n v="1194"/>
    <s v="In Detection Range"/>
    <n v="1193.5"/>
    <x v="471"/>
    <n v="0.74019369261983303"/>
  </r>
  <r>
    <x v="44"/>
    <x v="6"/>
    <s v="H05"/>
    <n v="10"/>
    <m/>
    <n v="781"/>
    <n v="781"/>
    <n v="780"/>
    <s v="In Detection Range"/>
    <n v="779.5"/>
    <x v="472"/>
    <n v="0.42589698852686902"/>
  </r>
  <r>
    <x v="44"/>
    <x v="6"/>
    <s v="H06"/>
    <n v="10"/>
    <m/>
    <n v="778"/>
    <n v="778"/>
    <n v="780"/>
    <s v="In Detection Range"/>
    <n v="779.5"/>
    <x v="473"/>
    <n v="0.42589698852686902"/>
  </r>
  <r>
    <x v="45"/>
    <x v="6"/>
    <s v="H07"/>
    <n v="10"/>
    <m/>
    <n v="455"/>
    <n v="455"/>
    <n v="465"/>
    <s v="In Detection Range"/>
    <n v="464.5"/>
    <x v="474"/>
    <n v="0.18407799327246099"/>
  </r>
  <r>
    <x v="45"/>
    <x v="6"/>
    <s v="H08"/>
    <n v="10"/>
    <m/>
    <n v="474"/>
    <n v="474"/>
    <n v="465"/>
    <s v="In Detection Range"/>
    <n v="464.5"/>
    <x v="475"/>
    <n v="0.18407799327246099"/>
  </r>
  <r>
    <x v="46"/>
    <x v="6"/>
    <s v="H10"/>
    <n v="10"/>
    <m/>
    <n v="279"/>
    <n v="279"/>
    <n v="276"/>
    <s v="In Detection Range"/>
    <n v="276"/>
    <x v="476"/>
    <n v="3.6730180539454899E-2"/>
  </r>
  <r>
    <x v="46"/>
    <x v="6"/>
    <s v="H09"/>
    <n v="10"/>
    <m/>
    <n v="273"/>
    <n v="273"/>
    <n v="276"/>
    <s v="In Detection Range"/>
    <n v="276"/>
    <x v="477"/>
    <n v="3.6730180539454899E-2"/>
  </r>
  <r>
    <x v="47"/>
    <x v="6"/>
    <s v="H11"/>
    <n v="10"/>
    <m/>
    <n v="330"/>
    <n v="330"/>
    <n v="323"/>
    <s v="In Detection Range"/>
    <n v="322.5"/>
    <x v="478"/>
    <n v="7.3464023548341806E-2"/>
  </r>
  <r>
    <x v="47"/>
    <x v="6"/>
    <s v="H12"/>
    <n v="10"/>
    <m/>
    <n v="315"/>
    <n v="315"/>
    <n v="323"/>
    <s v="In Detection Range"/>
    <n v="322.5"/>
    <x v="479"/>
    <n v="7.346402354834180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0442B-990A-47A6-B5FA-AF4F67867A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J53" firstHeaderRow="1" firstDataRow="2" firstDataCol="1"/>
  <pivotFields count="12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8">
        <item x="0"/>
        <item x="4"/>
        <item x="5"/>
        <item x="1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1">
        <item x="81"/>
        <item x="38"/>
        <item x="15"/>
        <item x="91"/>
        <item x="40"/>
        <item x="328"/>
        <item x="25"/>
        <item x="70"/>
        <item x="39"/>
        <item x="79"/>
        <item x="18"/>
        <item x="48"/>
        <item x="76"/>
        <item x="32"/>
        <item x="53"/>
        <item x="98"/>
        <item x="409"/>
        <item x="21"/>
        <item x="75"/>
        <item x="29"/>
        <item x="402"/>
        <item x="19"/>
        <item x="20"/>
        <item x="455"/>
        <item x="318"/>
        <item x="83"/>
        <item x="26"/>
        <item x="33"/>
        <item x="74"/>
        <item x="34"/>
        <item x="47"/>
        <item x="99"/>
        <item x="41"/>
        <item x="22"/>
        <item x="27"/>
        <item x="86"/>
        <item x="46"/>
        <item x="54"/>
        <item x="82"/>
        <item x="28"/>
        <item x="37"/>
        <item x="322"/>
        <item x="16"/>
        <item x="71"/>
        <item x="31"/>
        <item x="17"/>
        <item x="103"/>
        <item x="452"/>
        <item x="43"/>
        <item x="410"/>
        <item x="314"/>
        <item x="51"/>
        <item x="36"/>
        <item x="80"/>
        <item x="44"/>
        <item x="100"/>
        <item x="50"/>
        <item x="73"/>
        <item x="49"/>
        <item x="107"/>
        <item x="468"/>
        <item x="24"/>
        <item x="87"/>
        <item x="55"/>
        <item x="313"/>
        <item x="30"/>
        <item x="467"/>
        <item x="96"/>
        <item x="35"/>
        <item x="42"/>
        <item x="106"/>
        <item x="436"/>
        <item x="45"/>
        <item x="325"/>
        <item x="477"/>
        <item x="105"/>
        <item x="469"/>
        <item x="437"/>
        <item x="94"/>
        <item x="459"/>
        <item x="321"/>
        <item x="411"/>
        <item x="88"/>
        <item x="476"/>
        <item x="310"/>
        <item x="52"/>
        <item x="462"/>
        <item x="23"/>
        <item x="72"/>
        <item x="419"/>
        <item x="456"/>
        <item x="324"/>
        <item x="104"/>
        <item x="405"/>
        <item x="460"/>
        <item x="406"/>
        <item x="326"/>
        <item x="418"/>
        <item x="403"/>
        <item x="422"/>
        <item x="423"/>
        <item x="428"/>
        <item x="317"/>
        <item x="479"/>
        <item x="433"/>
        <item x="461"/>
        <item x="89"/>
        <item x="102"/>
        <item x="429"/>
        <item x="78"/>
        <item x="432"/>
        <item x="84"/>
        <item x="478"/>
        <item x="92"/>
        <item x="466"/>
        <item x="93"/>
        <item x="95"/>
        <item x="319"/>
        <item x="465"/>
        <item x="404"/>
        <item x="97"/>
        <item x="330"/>
        <item x="323"/>
        <item x="90"/>
        <item x="332"/>
        <item x="85"/>
        <item x="316"/>
        <item x="101"/>
        <item x="338"/>
        <item x="420"/>
        <item x="421"/>
        <item x="401"/>
        <item x="331"/>
        <item x="439"/>
        <item x="339"/>
        <item x="400"/>
        <item x="315"/>
        <item x="327"/>
        <item x="458"/>
        <item x="336"/>
        <item x="438"/>
        <item x="417"/>
        <item x="329"/>
        <item x="427"/>
        <item x="474"/>
        <item x="283"/>
        <item x="373"/>
        <item x="224"/>
        <item x="320"/>
        <item x="457"/>
        <item x="475"/>
        <item x="312"/>
        <item x="416"/>
        <item x="441"/>
        <item x="440"/>
        <item x="77"/>
        <item x="282"/>
        <item x="426"/>
        <item x="225"/>
        <item x="13"/>
        <item x="464"/>
        <item x="337"/>
        <item x="12"/>
        <item x="333"/>
        <item x="341"/>
        <item x="293"/>
        <item x="413"/>
        <item x="412"/>
        <item x="292"/>
        <item x="311"/>
        <item x="444"/>
        <item x="334"/>
        <item x="445"/>
        <item x="435"/>
        <item x="342"/>
        <item x="446"/>
        <item x="343"/>
        <item x="69"/>
        <item x="463"/>
        <item x="434"/>
        <item x="335"/>
        <item x="340"/>
        <item x="447"/>
        <item x="453"/>
        <item x="408"/>
        <item x="454"/>
        <item x="374"/>
        <item x="473"/>
        <item x="472"/>
        <item x="407"/>
        <item x="414"/>
        <item x="415"/>
        <item x="424"/>
        <item x="425"/>
        <item x="68"/>
        <item x="180"/>
        <item x="181"/>
        <item x="284"/>
        <item x="285"/>
        <item x="443"/>
        <item x="442"/>
        <item x="398"/>
        <item x="214"/>
        <item x="358"/>
        <item x="399"/>
        <item x="215"/>
        <item x="470"/>
        <item x="188"/>
        <item x="191"/>
        <item x="190"/>
        <item x="471"/>
        <item x="189"/>
        <item x="431"/>
        <item x="130"/>
        <item x="274"/>
        <item x="198"/>
        <item x="131"/>
        <item x="370"/>
        <item x="275"/>
        <item x="430"/>
        <item x="449"/>
        <item x="448"/>
        <item x="199"/>
        <item x="294"/>
        <item x="308"/>
        <item x="11"/>
        <item x="359"/>
        <item x="309"/>
        <item x="295"/>
        <item x="10"/>
        <item x="200"/>
        <item x="381"/>
        <item x="121"/>
        <item x="201"/>
        <item x="120"/>
        <item x="360"/>
        <item x="368"/>
        <item x="67"/>
        <item x="363"/>
        <item x="124"/>
        <item x="125"/>
        <item x="66"/>
        <item x="365"/>
        <item x="378"/>
        <item x="212"/>
        <item x="213"/>
        <item x="397"/>
        <item x="396"/>
        <item x="173"/>
        <item x="172"/>
        <item x="367"/>
        <item x="379"/>
        <item x="377"/>
        <item x="376"/>
        <item x="128"/>
        <item x="375"/>
        <item x="129"/>
        <item x="371"/>
        <item x="222"/>
        <item x="306"/>
        <item x="9"/>
        <item x="8"/>
        <item x="223"/>
        <item x="369"/>
        <item x="307"/>
        <item x="183"/>
        <item x="153"/>
        <item x="182"/>
        <item x="364"/>
        <item x="451"/>
        <item x="152"/>
        <item x="372"/>
        <item x="380"/>
        <item x="119"/>
        <item x="118"/>
        <item x="450"/>
        <item x="366"/>
        <item x="384"/>
        <item x="383"/>
        <item x="219"/>
        <item x="65"/>
        <item x="361"/>
        <item x="385"/>
        <item x="218"/>
        <item x="382"/>
        <item x="176"/>
        <item x="362"/>
        <item x="64"/>
        <item x="177"/>
        <item x="387"/>
        <item x="356"/>
        <item x="357"/>
        <item x="210"/>
        <item x="211"/>
        <item x="395"/>
        <item x="394"/>
        <item x="277"/>
        <item x="232"/>
        <item x="386"/>
        <item x="233"/>
        <item x="267"/>
        <item x="266"/>
        <item x="230"/>
        <item x="276"/>
        <item x="305"/>
        <item x="304"/>
        <item x="156"/>
        <item x="157"/>
        <item x="7"/>
        <item x="270"/>
        <item x="6"/>
        <item x="231"/>
        <item x="246"/>
        <item x="247"/>
        <item x="162"/>
        <item x="163"/>
        <item x="271"/>
        <item x="139"/>
        <item x="117"/>
        <item x="116"/>
        <item x="138"/>
        <item x="279"/>
        <item x="165"/>
        <item x="164"/>
        <item x="289"/>
        <item x="187"/>
        <item x="186"/>
        <item x="288"/>
        <item x="142"/>
        <item x="62"/>
        <item x="63"/>
        <item x="143"/>
        <item x="258"/>
        <item x="259"/>
        <item x="355"/>
        <item x="257"/>
        <item x="354"/>
        <item x="122"/>
        <item x="123"/>
        <item x="256"/>
        <item x="209"/>
        <item x="208"/>
        <item x="286"/>
        <item x="392"/>
        <item x="393"/>
        <item x="280"/>
        <item x="287"/>
        <item x="281"/>
        <item x="278"/>
        <item x="220"/>
        <item x="147"/>
        <item x="134"/>
        <item x="192"/>
        <item x="290"/>
        <item x="221"/>
        <item x="255"/>
        <item x="146"/>
        <item x="135"/>
        <item x="254"/>
        <item x="161"/>
        <item x="160"/>
        <item x="193"/>
        <item x="272"/>
        <item x="273"/>
        <item x="159"/>
        <item x="158"/>
        <item x="291"/>
        <item x="185"/>
        <item x="302"/>
        <item x="303"/>
        <item x="4"/>
        <item x="195"/>
        <item x="5"/>
        <item x="136"/>
        <item x="174"/>
        <item x="175"/>
        <item x="263"/>
        <item x="194"/>
        <item x="166"/>
        <item x="140"/>
        <item x="167"/>
        <item x="115"/>
        <item x="114"/>
        <item x="169"/>
        <item x="141"/>
        <item x="148"/>
        <item x="262"/>
        <item x="137"/>
        <item x="168"/>
        <item x="149"/>
        <item x="132"/>
        <item x="133"/>
        <item x="237"/>
        <item x="251"/>
        <item x="236"/>
        <item x="126"/>
        <item x="250"/>
        <item x="127"/>
        <item x="184"/>
        <item x="268"/>
        <item x="217"/>
        <item x="216"/>
        <item x="269"/>
        <item x="353"/>
        <item x="60"/>
        <item x="352"/>
        <item x="61"/>
        <item x="196"/>
        <item x="155"/>
        <item x="260"/>
        <item x="261"/>
        <item x="249"/>
        <item x="206"/>
        <item x="154"/>
        <item x="265"/>
        <item x="207"/>
        <item x="144"/>
        <item x="390"/>
        <item x="145"/>
        <item x="391"/>
        <item x="197"/>
        <item x="242"/>
        <item x="248"/>
        <item x="226"/>
        <item x="227"/>
        <item x="264"/>
        <item x="178"/>
        <item x="243"/>
        <item x="179"/>
        <item x="228"/>
        <item x="229"/>
        <item x="301"/>
        <item x="300"/>
        <item x="171"/>
        <item x="252"/>
        <item x="253"/>
        <item x="241"/>
        <item x="170"/>
        <item x="2"/>
        <item x="3"/>
        <item x="240"/>
        <item x="113"/>
        <item x="112"/>
        <item x="235"/>
        <item x="234"/>
        <item x="350"/>
        <item x="151"/>
        <item x="351"/>
        <item x="150"/>
        <item x="58"/>
        <item x="59"/>
        <item x="389"/>
        <item x="245"/>
        <item x="244"/>
        <item x="204"/>
        <item x="205"/>
        <item x="388"/>
        <item x="238"/>
        <item x="239"/>
        <item x="298"/>
        <item x="299"/>
        <item x="1"/>
        <item x="0"/>
        <item x="111"/>
        <item x="110"/>
        <item x="56"/>
        <item x="348"/>
        <item x="349"/>
        <item x="57"/>
        <item x="202"/>
        <item x="203"/>
        <item x="297"/>
        <item x="296"/>
        <item x="109"/>
        <item x="108"/>
        <item x="347"/>
        <item x="346"/>
        <item x="344"/>
        <item x="345"/>
        <item x="14"/>
        <item t="default"/>
      </items>
    </pivotField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alc. Concentration" fld="10" subtotal="average" baseField="0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31C81-74C0-40E7-A131-44BA0A3141FB}" name="Table1" displayName="Table1" ref="B1:M674" totalsRowShown="0">
  <autoFilter ref="B1:M674" xr:uid="{ECB31C81-74C0-40E7-A131-44BA0A3141FB}"/>
  <tableColumns count="12">
    <tableColumn id="1" xr3:uid="{89F93EA7-040A-4209-9C76-C6EE992C10D7}" name="Experiment_2023-07-13-152056: Experiment Data Table"/>
    <tableColumn id="2" xr3:uid="{70E142D7-D9D9-40A8-9951-AF1B23CBB1DB}" name="Column1"/>
    <tableColumn id="3" xr3:uid="{BDBFD520-C432-4903-935A-6D0A947B62FB}" name="Column2"/>
    <tableColumn id="4" xr3:uid="{151B54B2-9304-48D8-A61F-0EAE08B35655}" name="Column3"/>
    <tableColumn id="5" xr3:uid="{D04E6DEC-4E11-4FBB-9508-4C0176071810}" name="Column4"/>
    <tableColumn id="6" xr3:uid="{D6175FF5-E706-4DCF-BB88-19AD4F99AF65}" name="Column5"/>
    <tableColumn id="7" xr3:uid="{2A35A41D-8D39-4419-9DBE-3899B6E0573A}" name="Column6"/>
    <tableColumn id="8" xr3:uid="{F1E16788-C232-4CD4-9CE4-CD67A76B1523}" name="Column7"/>
    <tableColumn id="9" xr3:uid="{8A4D1F24-BD74-44F0-BB9B-FD2D5D96D299}" name="Column8"/>
    <tableColumn id="10" xr3:uid="{33355FC8-F0A6-437C-A49D-2BB022F16042}" name="Column9"/>
    <tableColumn id="11" xr3:uid="{C58D6D5B-D6C0-4E33-9729-DBAC7939990E}" name="Column10"/>
    <tableColumn id="12" xr3:uid="{323DEAE1-C843-44E6-B1CC-06D1AE2B0F6F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EC19-83F1-4BAB-BA2C-363DB3FFD708}">
  <sheetPr codeName="Sheet1"/>
  <dimension ref="A1:C137"/>
  <sheetViews>
    <sheetView workbookViewId="0">
      <selection activeCell="A26" sqref="A26"/>
    </sheetView>
  </sheetViews>
  <sheetFormatPr defaultRowHeight="15" x14ac:dyDescent="0.25"/>
  <cols>
    <col min="1" max="1" width="4.42578125" customWidth="1"/>
    <col min="2" max="2" width="255.5703125" customWidth="1"/>
  </cols>
  <sheetData>
    <row r="1" spans="1:3" ht="21" x14ac:dyDescent="0.35">
      <c r="A1" s="626" t="s">
        <v>0</v>
      </c>
      <c r="B1" s="626"/>
      <c r="C1" s="586"/>
    </row>
    <row r="2" spans="1:3" x14ac:dyDescent="0.25">
      <c r="A2" s="587" t="s">
        <v>1</v>
      </c>
      <c r="B2" s="588"/>
      <c r="C2" s="586"/>
    </row>
    <row r="3" spans="1:3" x14ac:dyDescent="0.25">
      <c r="A3" s="587" t="s">
        <v>695</v>
      </c>
      <c r="B3" s="588"/>
      <c r="C3" s="586"/>
    </row>
    <row r="4" spans="1:3" x14ac:dyDescent="0.25">
      <c r="A4" s="587" t="s">
        <v>105</v>
      </c>
      <c r="B4" s="588"/>
      <c r="C4" s="586"/>
    </row>
    <row r="5" spans="1:3" x14ac:dyDescent="0.25">
      <c r="A5" s="587" t="s">
        <v>106</v>
      </c>
      <c r="B5" s="588"/>
      <c r="C5" s="586"/>
    </row>
    <row r="6" spans="1:3" x14ac:dyDescent="0.25">
      <c r="A6" s="587"/>
      <c r="B6" s="587" t="s">
        <v>107</v>
      </c>
      <c r="C6" s="586"/>
    </row>
    <row r="7" spans="1:3" x14ac:dyDescent="0.25">
      <c r="A7" s="588"/>
      <c r="B7" s="587" t="s">
        <v>108</v>
      </c>
      <c r="C7" s="586"/>
    </row>
    <row r="8" spans="1:3" x14ac:dyDescent="0.25">
      <c r="A8" s="588"/>
      <c r="B8" s="587" t="s">
        <v>109</v>
      </c>
      <c r="C8" s="586"/>
    </row>
    <row r="9" spans="1:3" x14ac:dyDescent="0.25">
      <c r="A9" s="588"/>
      <c r="B9" s="587" t="s">
        <v>110</v>
      </c>
      <c r="C9" s="586"/>
    </row>
    <row r="10" spans="1:3" x14ac:dyDescent="0.25">
      <c r="A10" s="588"/>
      <c r="B10" s="587" t="s">
        <v>139</v>
      </c>
      <c r="C10" s="586"/>
    </row>
    <row r="11" spans="1:3" x14ac:dyDescent="0.25">
      <c r="A11" s="588"/>
      <c r="B11" s="587" t="s">
        <v>138</v>
      </c>
      <c r="C11" s="586"/>
    </row>
    <row r="12" spans="1:3" x14ac:dyDescent="0.25">
      <c r="A12" s="588"/>
      <c r="B12" s="587" t="s">
        <v>361</v>
      </c>
      <c r="C12" s="586"/>
    </row>
    <row r="13" spans="1:3" x14ac:dyDescent="0.25">
      <c r="A13" s="588"/>
      <c r="B13" s="587" t="s">
        <v>687</v>
      </c>
      <c r="C13" s="586"/>
    </row>
    <row r="14" spans="1:3" x14ac:dyDescent="0.25">
      <c r="A14" s="587" t="s">
        <v>690</v>
      </c>
      <c r="B14" s="587"/>
      <c r="C14" s="586"/>
    </row>
    <row r="15" spans="1:3" x14ac:dyDescent="0.25">
      <c r="A15" s="588"/>
      <c r="B15" s="587" t="s">
        <v>691</v>
      </c>
      <c r="C15" s="586"/>
    </row>
    <row r="16" spans="1:3" x14ac:dyDescent="0.25">
      <c r="A16" s="588"/>
      <c r="B16" s="587" t="s">
        <v>692</v>
      </c>
      <c r="C16" s="586"/>
    </row>
    <row r="17" spans="1:3" x14ac:dyDescent="0.25">
      <c r="A17" s="588"/>
      <c r="B17" s="587" t="s">
        <v>693</v>
      </c>
      <c r="C17" s="586"/>
    </row>
    <row r="18" spans="1:3" x14ac:dyDescent="0.25">
      <c r="A18" s="587" t="s">
        <v>688</v>
      </c>
      <c r="B18" s="588"/>
      <c r="C18" s="586"/>
    </row>
    <row r="19" spans="1:3" x14ac:dyDescent="0.25">
      <c r="A19" s="588"/>
      <c r="B19" s="587" t="s">
        <v>696</v>
      </c>
      <c r="C19" s="586"/>
    </row>
    <row r="20" spans="1:3" x14ac:dyDescent="0.25">
      <c r="A20" s="588"/>
      <c r="B20" s="587" t="s">
        <v>697</v>
      </c>
      <c r="C20" s="586"/>
    </row>
    <row r="21" spans="1:3" x14ac:dyDescent="0.25">
      <c r="A21" s="588"/>
      <c r="B21" s="587" t="s">
        <v>698</v>
      </c>
      <c r="C21" s="586"/>
    </row>
    <row r="22" spans="1:3" x14ac:dyDescent="0.25">
      <c r="A22" s="587" t="s">
        <v>689</v>
      </c>
      <c r="B22" s="588"/>
      <c r="C22" s="586"/>
    </row>
    <row r="23" spans="1:3" x14ac:dyDescent="0.25">
      <c r="A23" s="587"/>
      <c r="B23" s="587" t="s">
        <v>699</v>
      </c>
      <c r="C23" s="586"/>
    </row>
    <row r="24" spans="1:3" x14ac:dyDescent="0.25">
      <c r="A24" s="588"/>
      <c r="B24" s="587" t="s">
        <v>700</v>
      </c>
      <c r="C24" s="586"/>
    </row>
    <row r="25" spans="1:3" x14ac:dyDescent="0.25">
      <c r="A25" s="588"/>
      <c r="B25" s="587" t="s">
        <v>701</v>
      </c>
      <c r="C25" s="586"/>
    </row>
    <row r="26" spans="1:3" x14ac:dyDescent="0.25">
      <c r="A26" s="587" t="s">
        <v>694</v>
      </c>
      <c r="B26" s="588"/>
      <c r="C26" s="586"/>
    </row>
    <row r="27" spans="1:3" x14ac:dyDescent="0.25">
      <c r="A27" s="586"/>
      <c r="B27" s="586"/>
      <c r="C27" s="586"/>
    </row>
    <row r="28" spans="1:3" x14ac:dyDescent="0.25">
      <c r="A28" s="586"/>
      <c r="B28" s="586"/>
      <c r="C28" s="586"/>
    </row>
    <row r="29" spans="1:3" x14ac:dyDescent="0.25">
      <c r="A29" s="586"/>
      <c r="B29" s="586"/>
      <c r="C29" s="586"/>
    </row>
    <row r="30" spans="1:3" x14ac:dyDescent="0.25">
      <c r="A30" s="586"/>
      <c r="B30" s="586"/>
      <c r="C30" s="586"/>
    </row>
    <row r="31" spans="1:3" x14ac:dyDescent="0.25">
      <c r="A31" s="586"/>
      <c r="B31" s="586"/>
      <c r="C31" s="586"/>
    </row>
    <row r="32" spans="1:3" x14ac:dyDescent="0.25">
      <c r="A32" s="586"/>
      <c r="B32" s="586"/>
      <c r="C32" s="586"/>
    </row>
    <row r="33" spans="1:3" x14ac:dyDescent="0.25">
      <c r="A33" s="586"/>
      <c r="B33" s="586"/>
      <c r="C33" s="586"/>
    </row>
    <row r="34" spans="1:3" x14ac:dyDescent="0.25">
      <c r="A34" s="586"/>
      <c r="B34" s="586"/>
      <c r="C34" s="586"/>
    </row>
    <row r="35" spans="1:3" x14ac:dyDescent="0.25">
      <c r="A35" s="586"/>
      <c r="B35" s="586"/>
      <c r="C35" s="586"/>
    </row>
    <row r="36" spans="1:3" x14ac:dyDescent="0.25">
      <c r="A36" s="586"/>
      <c r="B36" s="586"/>
      <c r="C36" s="586"/>
    </row>
    <row r="37" spans="1:3" x14ac:dyDescent="0.25">
      <c r="A37" s="586"/>
      <c r="B37" s="586"/>
      <c r="C37" s="586"/>
    </row>
    <row r="38" spans="1:3" x14ac:dyDescent="0.25">
      <c r="A38" s="586"/>
      <c r="B38" s="586"/>
      <c r="C38" s="586"/>
    </row>
    <row r="39" spans="1:3" x14ac:dyDescent="0.25">
      <c r="A39" s="2"/>
      <c r="B39" s="2"/>
      <c r="C39" s="586"/>
    </row>
    <row r="40" spans="1:3" x14ac:dyDescent="0.25">
      <c r="A40" s="2"/>
      <c r="B40" s="2"/>
      <c r="C40" s="586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</row>
    <row r="46" spans="1:3" x14ac:dyDescent="0.25">
      <c r="A46" s="2"/>
    </row>
    <row r="47" spans="1:3" x14ac:dyDescent="0.25">
      <c r="A47" s="2"/>
    </row>
    <row r="48" spans="1: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</sheetData>
  <mergeCells count="1">
    <mergeCell ref="A1:B1"/>
  </mergeCells>
  <hyperlinks>
    <hyperlink ref="A4" location="Viability!A1" display="2. Viability" xr:uid="{0A0BD552-CABF-4739-A73B-43D45A2FFA25}"/>
    <hyperlink ref="B6" location="'Alamar Blue - Raw'!A1" display="3.1 - Alamar Blue Raw" xr:uid="{DDA4404A-452C-4AE9-B139-B6995EE342F0}"/>
    <hyperlink ref="A2" location="'All Data Summary'!A1" display="1. Summary" xr:uid="{99E50159-0AD8-4179-A9C3-283F8EF02675}"/>
    <hyperlink ref="A5" location="'Biochem Summary'!A1" display="4. Biochem" xr:uid="{945CE10F-34B1-4300-BDD2-965ED77E723C}"/>
    <hyperlink ref="B7" location="'Alamar Blue - Analysis'!A1" display="3.2 - Alamar Blue Analysis" xr:uid="{1CC26251-CA4A-4020-B27E-D67E8149BB81}"/>
    <hyperlink ref="B11" location="Weights!A1" display="3.3 - Weights" xr:uid="{21EC944F-4B10-4FB6-843F-32AD98A937F6}"/>
    <hyperlink ref="B8" location="Picogreen!A1" display="3.3 - Picogreen" xr:uid="{D4B8265A-99A5-4981-A5AE-71065D6D600B}"/>
    <hyperlink ref="B9" location="DMMB!A1" display="3.4 - DMMB" xr:uid="{3AE68BE9-28ED-43B3-BE18-93545332CFC4}"/>
    <hyperlink ref="A3" location="'All Data Stats'!A1" display="2. Statistic Formatting" xr:uid="{D5CF2441-2432-49F0-ABE7-E987CB9C7E4E}"/>
    <hyperlink ref="B10" location="OHP!A1" display="4.5 - OHP" xr:uid="{DCCFE4C0-4EBC-41C1-B994-81261FE33996}"/>
    <hyperlink ref="B12" location="Rx!A1" display="4.7 - Rx" xr:uid="{2C04C077-FE4B-4FCD-A6EF-7699CCF9F78B}"/>
    <hyperlink ref="A18" location="Histology!A1" display="5. Histology" xr:uid="{51E92B8D-43EA-44B8-9E93-96D1BB29A2E1}"/>
    <hyperlink ref="B19" location="'H&amp;E'!A1" display="5.1 - H&amp;E" xr:uid="{23FAD662-3859-4EDE-962E-4F3F2F8BF936}"/>
    <hyperlink ref="B20" location="SHG!A1" display="5.2 - SHG" xr:uid="{BFEDF9AF-DAA1-4403-A370-16D72EA56292}"/>
    <hyperlink ref="B21" location="TolBlue!A1" display="5.3 - TolBlue" xr:uid="{F42DD908-8060-40E6-BAC9-A1CA74C46A68}"/>
    <hyperlink ref="A22" location="'Gene Expression'!A1" display="6. PCR" xr:uid="{82BE37EF-6E4E-45AF-8400-240073189AB3}"/>
    <hyperlink ref="B24" location="'Gene Expression'!A1" display="6.1 - Gene Expression" xr:uid="{3D9F852B-94EE-4742-B9BA-C1F1FF719855}"/>
    <hyperlink ref="B25" location="'PCR Analysis'!A1" display="6.2 - PCR Analysis" xr:uid="{7DA0C2E5-3C7D-42FF-94B4-90147C3ACBBF}"/>
    <hyperlink ref="B23" location="'PCR Results'!A1" display="6.1 - PCR Results" xr:uid="{A1BA578D-990F-431D-AEE2-C1C3172F88C7}"/>
    <hyperlink ref="B13" location="'MMP Activity'!A1" display="4.8 - MMP Activity" xr:uid="{B6B6FCA1-6395-416F-A84E-B1402C592736}"/>
    <hyperlink ref="B15" location="'MSD Raw Data'!A1" display="5.1 - MSD Raw Data" xr:uid="{5BAC0BF8-0479-489D-8A60-B817F71B0475}"/>
    <hyperlink ref="A14" location="'MSD Raw Data'!A1" display="5. MSD" xr:uid="{07B0F0B2-2EBA-4BD8-8719-E9126974E8FA}"/>
    <hyperlink ref="B16" location="'MSD Pivot Table'!A1" display="5.2 - MSD Pivot Table" xr:uid="{F102FF49-D4F3-4667-AE9C-E3FAC862B253}"/>
    <hyperlink ref="B17" location="'MSD Analysis'!A1" display="5.3 - MSD Analysis" xr:uid="{B48D743E-A6C5-425A-BAE0-D2F920D1F08B}"/>
    <hyperlink ref="A26" location="Mechanics!A1" display="8. Mechanics" xr:uid="{D7047117-424A-4874-A44B-4F965D77371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215D-89DF-47BF-808A-9A05F13874C7}">
  <dimension ref="A1:DG62"/>
  <sheetViews>
    <sheetView topLeftCell="V1" zoomScale="96" zoomScaleNormal="96" workbookViewId="0">
      <selection activeCell="AP10" sqref="AP10"/>
    </sheetView>
  </sheetViews>
  <sheetFormatPr defaultRowHeight="15" x14ac:dyDescent="0.25"/>
  <cols>
    <col min="1" max="1" width="17.28515625" customWidth="1"/>
    <col min="2" max="2" width="13.7109375" customWidth="1"/>
    <col min="3" max="3" width="11.28515625" customWidth="1"/>
    <col min="4" max="5" width="10.5703125" bestFit="1" customWidth="1"/>
    <col min="6" max="6" width="9.5703125" bestFit="1" customWidth="1"/>
    <col min="9" max="10" width="11.140625" bestFit="1" customWidth="1"/>
    <col min="16" max="16" width="3" customWidth="1"/>
    <col min="17" max="17" width="3.28515625" customWidth="1"/>
    <col min="18" max="18" width="13.28515625" customWidth="1"/>
    <col min="19" max="19" width="11.140625" customWidth="1"/>
    <col min="20" max="20" width="9.5703125" bestFit="1" customWidth="1"/>
    <col min="32" max="33" width="2" customWidth="1"/>
    <col min="34" max="34" width="11.42578125" customWidth="1"/>
    <col min="35" max="35" width="11.5703125" customWidth="1"/>
    <col min="36" max="36" width="12.140625" bestFit="1" customWidth="1"/>
    <col min="48" max="48" width="3.28515625" customWidth="1"/>
    <col min="49" max="49" width="3.42578125" customWidth="1"/>
    <col min="50" max="50" width="11.42578125" customWidth="1"/>
    <col min="51" max="51" width="10.7109375" customWidth="1"/>
    <col min="52" max="52" width="12.7109375" bestFit="1" customWidth="1"/>
    <col min="64" max="64" width="3.42578125" customWidth="1"/>
    <col min="65" max="65" width="3.140625" customWidth="1"/>
    <col min="66" max="66" width="12.140625" customWidth="1"/>
    <col min="67" max="67" width="10.7109375" customWidth="1"/>
    <col min="68" max="68" width="9.7109375" customWidth="1"/>
    <col min="69" max="69" width="11.5703125" bestFit="1" customWidth="1"/>
    <col min="80" max="80" width="2.85546875" customWidth="1"/>
    <col min="81" max="81" width="4.140625" customWidth="1"/>
    <col min="82" max="82" width="11.7109375" customWidth="1"/>
    <col min="83" max="83" width="11.28515625" customWidth="1"/>
    <col min="84" max="84" width="10.28515625" customWidth="1"/>
    <col min="85" max="85" width="9.5703125" customWidth="1"/>
    <col min="96" max="96" width="2.85546875" customWidth="1"/>
    <col min="97" max="97" width="3" customWidth="1"/>
    <col min="99" max="99" width="11.5703125" customWidth="1"/>
    <col min="100" max="100" width="12" bestFit="1" customWidth="1"/>
  </cols>
  <sheetData>
    <row r="1" spans="1:111" ht="15.75" thickBot="1" x14ac:dyDescent="0.3">
      <c r="A1" s="1" t="s">
        <v>9</v>
      </c>
      <c r="B1" s="704" t="s">
        <v>190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6"/>
      <c r="R1" s="704" t="s">
        <v>191</v>
      </c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6"/>
      <c r="AH1" s="704" t="s">
        <v>192</v>
      </c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6"/>
    </row>
    <row r="2" spans="1:111" x14ac:dyDescent="0.25">
      <c r="B2" s="713" t="s">
        <v>132</v>
      </c>
      <c r="C2" s="18"/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20">
        <v>12</v>
      </c>
      <c r="R2" s="713" t="s">
        <v>133</v>
      </c>
      <c r="S2" s="18"/>
      <c r="T2" s="19">
        <v>1</v>
      </c>
      <c r="U2" s="19">
        <v>2</v>
      </c>
      <c r="V2" s="19">
        <v>3</v>
      </c>
      <c r="W2" s="19">
        <v>4</v>
      </c>
      <c r="X2" s="19">
        <v>5</v>
      </c>
      <c r="Y2" s="19">
        <v>6</v>
      </c>
      <c r="Z2" s="19">
        <v>7</v>
      </c>
      <c r="AA2" s="19">
        <v>8</v>
      </c>
      <c r="AB2" s="19">
        <v>9</v>
      </c>
      <c r="AC2" s="19">
        <v>10</v>
      </c>
      <c r="AD2" s="19">
        <v>11</v>
      </c>
      <c r="AE2" s="20">
        <v>12</v>
      </c>
      <c r="AH2" s="713" t="s">
        <v>211</v>
      </c>
      <c r="AI2" s="18"/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20">
        <v>12</v>
      </c>
      <c r="AX2" s="689" t="s">
        <v>212</v>
      </c>
      <c r="AY2" s="126"/>
      <c r="AZ2" s="19">
        <v>1</v>
      </c>
      <c r="BA2" s="19">
        <v>2</v>
      </c>
      <c r="BB2" s="19">
        <v>3</v>
      </c>
      <c r="BC2" s="19">
        <v>4</v>
      </c>
      <c r="BD2" s="19">
        <v>5</v>
      </c>
      <c r="BE2" s="19">
        <v>6</v>
      </c>
      <c r="BF2" s="19">
        <v>7</v>
      </c>
      <c r="BG2" s="19">
        <v>8</v>
      </c>
      <c r="BH2" s="19">
        <v>9</v>
      </c>
      <c r="BI2" s="19">
        <v>10</v>
      </c>
      <c r="BJ2" s="19">
        <v>11</v>
      </c>
      <c r="BK2" s="20">
        <v>12</v>
      </c>
      <c r="BN2" s="689" t="s">
        <v>213</v>
      </c>
      <c r="BO2" s="407"/>
      <c r="BP2" s="19">
        <v>1</v>
      </c>
      <c r="BQ2" s="19">
        <v>2</v>
      </c>
      <c r="BR2" s="19">
        <v>3</v>
      </c>
      <c r="BS2" s="19">
        <v>4</v>
      </c>
      <c r="BT2" s="19">
        <v>5</v>
      </c>
      <c r="BU2" s="19">
        <v>6</v>
      </c>
      <c r="BV2" s="19">
        <v>7</v>
      </c>
      <c r="BW2" s="19">
        <v>8</v>
      </c>
      <c r="BX2" s="19">
        <v>9</v>
      </c>
      <c r="BY2" s="19">
        <v>10</v>
      </c>
      <c r="BZ2" s="19">
        <v>11</v>
      </c>
      <c r="CA2" s="20">
        <v>12</v>
      </c>
      <c r="CD2" s="689" t="s">
        <v>223</v>
      </c>
      <c r="CE2" s="407"/>
      <c r="CF2" s="19">
        <v>1</v>
      </c>
      <c r="CG2" s="19">
        <v>2</v>
      </c>
      <c r="CH2" s="19">
        <v>3</v>
      </c>
      <c r="CI2" s="19">
        <v>4</v>
      </c>
      <c r="CJ2" s="19">
        <v>5</v>
      </c>
      <c r="CK2" s="19">
        <v>6</v>
      </c>
      <c r="CL2" s="19">
        <v>7</v>
      </c>
      <c r="CM2" s="19">
        <v>8</v>
      </c>
      <c r="CN2" s="19">
        <v>9</v>
      </c>
      <c r="CO2" s="19">
        <v>10</v>
      </c>
      <c r="CP2" s="19">
        <v>11</v>
      </c>
      <c r="CQ2" s="20">
        <v>12</v>
      </c>
      <c r="CT2" s="689" t="s">
        <v>224</v>
      </c>
      <c r="CU2" s="406"/>
      <c r="CV2" s="10">
        <v>1</v>
      </c>
      <c r="CW2" s="10">
        <v>2</v>
      </c>
      <c r="CX2" s="10">
        <v>3</v>
      </c>
      <c r="CY2" s="10">
        <v>4</v>
      </c>
      <c r="CZ2" s="10">
        <v>5</v>
      </c>
      <c r="DA2" s="10">
        <v>6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</row>
    <row r="3" spans="1:111" x14ac:dyDescent="0.25">
      <c r="B3" s="714"/>
      <c r="C3" s="10" t="s">
        <v>13</v>
      </c>
      <c r="D3" s="12">
        <v>0.05</v>
      </c>
      <c r="E3" s="12">
        <v>0.05</v>
      </c>
      <c r="F3" s="12">
        <v>4.2999999999999997E-2</v>
      </c>
      <c r="G3" s="12">
        <v>4.9000000000000002E-2</v>
      </c>
      <c r="H3" s="12">
        <v>5.1999999999999998E-2</v>
      </c>
      <c r="I3" s="12">
        <v>4.5999999999999999E-2</v>
      </c>
      <c r="J3" s="13">
        <v>0.312</v>
      </c>
      <c r="K3" s="12">
        <v>4.9000000000000002E-2</v>
      </c>
      <c r="L3" s="12">
        <v>4.9000000000000002E-2</v>
      </c>
      <c r="M3" s="12">
        <v>5.2999999999999999E-2</v>
      </c>
      <c r="N3" s="12">
        <v>4.8000000000000001E-2</v>
      </c>
      <c r="O3" s="21">
        <v>6.5000000000000002E-2</v>
      </c>
      <c r="R3" s="714"/>
      <c r="S3" s="10" t="s">
        <v>13</v>
      </c>
      <c r="T3" s="12">
        <v>0.17399999999999999</v>
      </c>
      <c r="U3" s="12">
        <v>0.05</v>
      </c>
      <c r="V3" s="12">
        <v>0.16</v>
      </c>
      <c r="W3" s="12">
        <v>0.126</v>
      </c>
      <c r="X3" s="12">
        <v>0.31</v>
      </c>
      <c r="Y3" s="12">
        <v>0.14499999999999999</v>
      </c>
      <c r="Z3" s="12">
        <v>4.9000000000000002E-2</v>
      </c>
      <c r="AA3" s="12">
        <v>5.2999999999999999E-2</v>
      </c>
      <c r="AB3" s="12">
        <v>4.9000000000000002E-2</v>
      </c>
      <c r="AC3" s="12">
        <v>5.5E-2</v>
      </c>
      <c r="AD3" s="12">
        <v>4.9000000000000002E-2</v>
      </c>
      <c r="AE3" s="21">
        <v>4.8000000000000001E-2</v>
      </c>
      <c r="AH3" s="714"/>
      <c r="AI3" s="10" t="s">
        <v>13</v>
      </c>
      <c r="AJ3" s="12">
        <v>4.8000000000000001E-2</v>
      </c>
      <c r="AK3" s="12">
        <v>4.7E-2</v>
      </c>
      <c r="AL3" s="12">
        <v>5.0999999999999997E-2</v>
      </c>
      <c r="AM3" s="12">
        <v>5.0999999999999997E-2</v>
      </c>
      <c r="AN3" s="12">
        <v>0.05</v>
      </c>
      <c r="AO3" s="12">
        <v>0.05</v>
      </c>
      <c r="AP3" s="12">
        <v>0.05</v>
      </c>
      <c r="AQ3" s="12">
        <v>4.9000000000000002E-2</v>
      </c>
      <c r="AR3" s="12">
        <v>4.9000000000000002E-2</v>
      </c>
      <c r="AS3" s="12">
        <v>5.0999999999999997E-2</v>
      </c>
      <c r="AT3" s="12">
        <v>4.9000000000000002E-2</v>
      </c>
      <c r="AU3" s="21">
        <v>0.05</v>
      </c>
      <c r="AX3" s="690"/>
      <c r="AY3" s="125" t="s">
        <v>13</v>
      </c>
      <c r="AZ3" s="12">
        <v>4.8000000000000001E-2</v>
      </c>
      <c r="BA3" s="12">
        <v>4.8000000000000001E-2</v>
      </c>
      <c r="BB3" s="12">
        <v>4.8000000000000001E-2</v>
      </c>
      <c r="BC3" s="12">
        <v>4.8000000000000001E-2</v>
      </c>
      <c r="BD3" s="12">
        <v>4.8000000000000001E-2</v>
      </c>
      <c r="BE3" s="12">
        <v>4.9000000000000002E-2</v>
      </c>
      <c r="BF3" s="12">
        <v>4.9000000000000002E-2</v>
      </c>
      <c r="BG3" s="12">
        <v>4.9000000000000002E-2</v>
      </c>
      <c r="BH3" s="12">
        <v>4.9000000000000002E-2</v>
      </c>
      <c r="BI3" s="12">
        <v>0.05</v>
      </c>
      <c r="BJ3" s="12">
        <v>4.9000000000000002E-2</v>
      </c>
      <c r="BK3" s="21">
        <v>0.13100000000000001</v>
      </c>
      <c r="BN3" s="690"/>
      <c r="BO3" s="408" t="s">
        <v>13</v>
      </c>
      <c r="BP3" s="12">
        <v>4.7E-2</v>
      </c>
      <c r="BQ3" s="12">
        <v>4.8000000000000001E-2</v>
      </c>
      <c r="BR3" s="12">
        <v>4.8000000000000001E-2</v>
      </c>
      <c r="BS3" s="12">
        <v>4.8000000000000001E-2</v>
      </c>
      <c r="BT3" s="12">
        <v>4.8000000000000001E-2</v>
      </c>
      <c r="BU3" s="12">
        <v>4.9000000000000002E-2</v>
      </c>
      <c r="BV3" s="12">
        <v>4.9000000000000002E-2</v>
      </c>
      <c r="BW3" s="12">
        <v>4.9000000000000002E-2</v>
      </c>
      <c r="BX3" s="12">
        <v>4.8000000000000001E-2</v>
      </c>
      <c r="BY3" s="12">
        <v>4.8000000000000001E-2</v>
      </c>
      <c r="BZ3" s="12">
        <v>4.8000000000000001E-2</v>
      </c>
      <c r="CA3" s="21">
        <v>4.8000000000000001E-2</v>
      </c>
      <c r="CD3" s="690"/>
      <c r="CE3" s="408" t="s">
        <v>13</v>
      </c>
      <c r="CF3" s="12">
        <v>4.8000000000000001E-2</v>
      </c>
      <c r="CG3" s="12">
        <v>4.9000000000000002E-2</v>
      </c>
      <c r="CH3" s="12">
        <v>4.8000000000000001E-2</v>
      </c>
      <c r="CI3" s="12">
        <v>4.9000000000000002E-2</v>
      </c>
      <c r="CJ3" s="12">
        <v>4.8000000000000001E-2</v>
      </c>
      <c r="CK3" s="12">
        <v>4.9000000000000002E-2</v>
      </c>
      <c r="CL3" s="12">
        <v>4.8000000000000001E-2</v>
      </c>
      <c r="CM3" s="12">
        <v>4.9000000000000002E-2</v>
      </c>
      <c r="CN3" s="12">
        <v>4.8000000000000001E-2</v>
      </c>
      <c r="CO3" s="12">
        <v>4.8000000000000001E-2</v>
      </c>
      <c r="CP3" s="12">
        <v>4.8000000000000001E-2</v>
      </c>
      <c r="CQ3" s="21">
        <v>4.9000000000000002E-2</v>
      </c>
      <c r="CT3" s="690"/>
      <c r="CU3" s="10" t="s">
        <v>13</v>
      </c>
      <c r="CV3" s="12">
        <v>0.12</v>
      </c>
      <c r="CW3" s="12">
        <v>8.4000000000000005E-2</v>
      </c>
      <c r="CX3" s="12">
        <v>8.5000000000000006E-2</v>
      </c>
      <c r="CY3" s="12">
        <v>0.08</v>
      </c>
      <c r="CZ3" s="12">
        <v>7.3999999999999996E-2</v>
      </c>
      <c r="DA3" s="12">
        <v>8.3000000000000004E-2</v>
      </c>
      <c r="DB3" s="12">
        <v>8.5000000000000006E-2</v>
      </c>
      <c r="DC3" s="12">
        <v>8.5999999999999993E-2</v>
      </c>
      <c r="DD3" s="12">
        <v>7.3999999999999996E-2</v>
      </c>
      <c r="DE3" s="12">
        <v>8.6999999999999994E-2</v>
      </c>
      <c r="DF3" s="12">
        <v>8.5000000000000006E-2</v>
      </c>
      <c r="DG3" s="12">
        <v>7.6999999999999999E-2</v>
      </c>
    </row>
    <row r="4" spans="1:111" x14ac:dyDescent="0.25">
      <c r="B4" s="714"/>
      <c r="C4" s="10" t="s">
        <v>14</v>
      </c>
      <c r="D4" s="12">
        <v>5.6000000000000001E-2</v>
      </c>
      <c r="E4" s="12">
        <v>6.5000000000000002E-2</v>
      </c>
      <c r="F4" s="12">
        <v>0.124</v>
      </c>
      <c r="G4" s="12">
        <v>0.20200000000000001</v>
      </c>
      <c r="H4" s="13">
        <v>0.39600000000000002</v>
      </c>
      <c r="I4" s="13">
        <v>0.45900000000000002</v>
      </c>
      <c r="J4" s="108">
        <v>0.93300000000000005</v>
      </c>
      <c r="K4" s="26">
        <v>1.696</v>
      </c>
      <c r="L4" s="31">
        <v>3.0329999999999999</v>
      </c>
      <c r="M4" s="17">
        <v>3.7240000000000002</v>
      </c>
      <c r="N4" s="213" t="s">
        <v>131</v>
      </c>
      <c r="O4" s="21">
        <v>4.9000000000000002E-2</v>
      </c>
      <c r="R4" s="714"/>
      <c r="S4" s="10" t="s">
        <v>14</v>
      </c>
      <c r="T4" s="12">
        <v>0.246</v>
      </c>
      <c r="U4" s="12">
        <v>6.4000000000000001E-2</v>
      </c>
      <c r="V4" s="12">
        <v>0.16900000000000001</v>
      </c>
      <c r="W4" s="12">
        <v>0.25700000000000001</v>
      </c>
      <c r="X4" s="13">
        <v>0.51100000000000001</v>
      </c>
      <c r="Y4" s="107">
        <v>0.622</v>
      </c>
      <c r="Z4" s="107">
        <v>0.77</v>
      </c>
      <c r="AA4" s="28">
        <v>1.4970000000000001</v>
      </c>
      <c r="AB4" s="15">
        <v>2.4540000000000002</v>
      </c>
      <c r="AC4" s="27">
        <v>3.41</v>
      </c>
      <c r="AD4" s="213" t="s">
        <v>131</v>
      </c>
      <c r="AE4" s="21">
        <v>4.9000000000000002E-2</v>
      </c>
      <c r="AH4" s="714"/>
      <c r="AI4" s="10" t="s">
        <v>14</v>
      </c>
      <c r="AJ4" s="12">
        <v>4.9000000000000002E-2</v>
      </c>
      <c r="AK4" s="12">
        <v>0.14099999999999999</v>
      </c>
      <c r="AL4" s="12">
        <v>0.214</v>
      </c>
      <c r="AM4" s="13">
        <v>0.35199999999999998</v>
      </c>
      <c r="AN4" s="107">
        <v>0.623</v>
      </c>
      <c r="AO4" s="108">
        <v>0.84799999999999998</v>
      </c>
      <c r="AP4" s="29">
        <v>1.044</v>
      </c>
      <c r="AQ4" s="14">
        <v>1.8109999999999999</v>
      </c>
      <c r="AR4" s="17">
        <v>3.194</v>
      </c>
      <c r="AS4" s="213" t="s">
        <v>131</v>
      </c>
      <c r="AT4" s="213" t="s">
        <v>131</v>
      </c>
      <c r="AU4" s="21">
        <v>4.9000000000000002E-2</v>
      </c>
      <c r="AX4" s="690"/>
      <c r="AY4" s="125" t="s">
        <v>14</v>
      </c>
      <c r="AZ4" s="12">
        <v>4.8000000000000001E-2</v>
      </c>
      <c r="BA4" s="12">
        <v>6.4000000000000001E-2</v>
      </c>
      <c r="BB4" s="12">
        <v>0.191</v>
      </c>
      <c r="BC4" s="13">
        <v>0.32400000000000001</v>
      </c>
      <c r="BD4" s="13">
        <v>0.55000000000000004</v>
      </c>
      <c r="BE4" s="107">
        <v>0.78700000000000003</v>
      </c>
      <c r="BF4" s="108">
        <v>0.97399999999999998</v>
      </c>
      <c r="BG4" s="28">
        <v>1.6419999999999999</v>
      </c>
      <c r="BH4" s="11">
        <v>3.0720000000000001</v>
      </c>
      <c r="BI4" s="213" t="s">
        <v>131</v>
      </c>
      <c r="BJ4" s="213" t="s">
        <v>131</v>
      </c>
      <c r="BK4" s="21">
        <v>4.8000000000000001E-2</v>
      </c>
      <c r="BN4" s="690"/>
      <c r="BO4" s="408" t="s">
        <v>14</v>
      </c>
      <c r="BP4" s="12">
        <v>4.8000000000000001E-2</v>
      </c>
      <c r="BQ4" s="12">
        <v>6.0999999999999999E-2</v>
      </c>
      <c r="BR4" s="12">
        <v>0.188</v>
      </c>
      <c r="BS4" s="13">
        <v>0.29699999999999999</v>
      </c>
      <c r="BT4" s="107">
        <v>0.51800000000000002</v>
      </c>
      <c r="BU4" s="108">
        <v>0.73199999999999998</v>
      </c>
      <c r="BV4" s="108">
        <v>0.92</v>
      </c>
      <c r="BW4" s="14">
        <v>1.677</v>
      </c>
      <c r="BX4" s="17">
        <v>3.1339999999999999</v>
      </c>
      <c r="BY4" s="213" t="s">
        <v>131</v>
      </c>
      <c r="BZ4" s="213" t="s">
        <v>131</v>
      </c>
      <c r="CA4" s="21">
        <v>5.2999999999999999E-2</v>
      </c>
      <c r="CD4" s="690"/>
      <c r="CE4" s="408" t="s">
        <v>14</v>
      </c>
      <c r="CF4" s="12">
        <v>4.8000000000000001E-2</v>
      </c>
      <c r="CG4" s="12">
        <v>0.06</v>
      </c>
      <c r="CH4" s="12">
        <v>0.22600000000000001</v>
      </c>
      <c r="CI4" s="13">
        <v>0.378</v>
      </c>
      <c r="CJ4" s="107">
        <v>0.624</v>
      </c>
      <c r="CK4" s="108">
        <v>0.86299999999999999</v>
      </c>
      <c r="CL4" s="29">
        <v>1.083</v>
      </c>
      <c r="CM4" s="14">
        <v>1.86</v>
      </c>
      <c r="CN4" s="17">
        <v>3.32</v>
      </c>
      <c r="CO4" s="213" t="s">
        <v>131</v>
      </c>
      <c r="CP4" s="213" t="s">
        <v>131</v>
      </c>
      <c r="CQ4" s="21">
        <v>4.9000000000000002E-2</v>
      </c>
      <c r="CT4" s="690"/>
      <c r="CU4" s="10" t="s">
        <v>14</v>
      </c>
      <c r="CV4" s="12">
        <v>7.3999999999999996E-2</v>
      </c>
      <c r="CW4" s="108">
        <v>0.91500000000000004</v>
      </c>
      <c r="CX4" s="108">
        <v>1.028</v>
      </c>
      <c r="CY4" s="29">
        <v>1.2909999999999999</v>
      </c>
      <c r="CZ4" s="26">
        <v>1.617</v>
      </c>
      <c r="DA4" s="14">
        <v>1.9279999999999999</v>
      </c>
      <c r="DB4" s="15">
        <v>2.1219999999999999</v>
      </c>
      <c r="DC4" s="27">
        <v>3.14</v>
      </c>
      <c r="DD4" s="213" t="s">
        <v>131</v>
      </c>
      <c r="DE4" s="213" t="s">
        <v>131</v>
      </c>
      <c r="DF4" s="213" t="s">
        <v>131</v>
      </c>
      <c r="DG4" s="12">
        <v>7.4999999999999997E-2</v>
      </c>
    </row>
    <row r="5" spans="1:111" x14ac:dyDescent="0.25">
      <c r="B5" s="714"/>
      <c r="C5" s="10" t="s">
        <v>15</v>
      </c>
      <c r="D5" s="12">
        <v>9.2999999999999999E-2</v>
      </c>
      <c r="E5" s="12">
        <v>7.5999999999999998E-2</v>
      </c>
      <c r="F5" s="12">
        <v>0.14899999999999999</v>
      </c>
      <c r="G5" s="12">
        <v>0.20300000000000001</v>
      </c>
      <c r="H5" s="13">
        <v>0.52600000000000002</v>
      </c>
      <c r="I5" s="107">
        <v>0.64500000000000002</v>
      </c>
      <c r="J5" s="108">
        <v>0.91400000000000003</v>
      </c>
      <c r="K5" s="26">
        <v>1.8779999999999999</v>
      </c>
      <c r="L5" s="31">
        <v>3</v>
      </c>
      <c r="M5" s="17">
        <v>3.7029999999999998</v>
      </c>
      <c r="N5" s="213" t="s">
        <v>131</v>
      </c>
      <c r="O5" s="21">
        <v>4.8000000000000001E-2</v>
      </c>
      <c r="R5" s="714"/>
      <c r="S5" s="10" t="s">
        <v>15</v>
      </c>
      <c r="T5" s="12">
        <v>0.14599999999999999</v>
      </c>
      <c r="U5" s="12">
        <v>9.9000000000000005E-2</v>
      </c>
      <c r="V5" s="12">
        <v>0.16600000000000001</v>
      </c>
      <c r="W5" s="12">
        <v>0.23899999999999999</v>
      </c>
      <c r="X5" s="13">
        <v>0.50800000000000001</v>
      </c>
      <c r="Y5" s="107">
        <v>0.76400000000000001</v>
      </c>
      <c r="Z5" s="108">
        <v>0.93899999999999995</v>
      </c>
      <c r="AA5" s="28">
        <v>1.573</v>
      </c>
      <c r="AB5" s="16">
        <v>2.5840000000000001</v>
      </c>
      <c r="AC5" s="27">
        <v>3.5630000000000002</v>
      </c>
      <c r="AD5" s="17">
        <v>3.915</v>
      </c>
      <c r="AE5" s="21">
        <v>5.2999999999999999E-2</v>
      </c>
      <c r="AH5" s="714"/>
      <c r="AI5" s="10" t="s">
        <v>15</v>
      </c>
      <c r="AJ5" s="12">
        <v>0.05</v>
      </c>
      <c r="AK5" s="12">
        <v>6.4000000000000001E-2</v>
      </c>
      <c r="AL5" s="12">
        <v>0.218</v>
      </c>
      <c r="AM5" s="13">
        <v>0.35799999999999998</v>
      </c>
      <c r="AN5" s="107">
        <v>0.58699999999999997</v>
      </c>
      <c r="AO5" s="108">
        <v>0.83299999999999996</v>
      </c>
      <c r="AP5" s="108">
        <v>0.92900000000000005</v>
      </c>
      <c r="AQ5" s="14">
        <v>1.742</v>
      </c>
      <c r="AR5" s="27">
        <v>2.9409999999999998</v>
      </c>
      <c r="AS5" s="213" t="s">
        <v>131</v>
      </c>
      <c r="AT5" s="213" t="s">
        <v>131</v>
      </c>
      <c r="AU5" s="21">
        <v>4.9000000000000002E-2</v>
      </c>
      <c r="AX5" s="690"/>
      <c r="AY5" s="125" t="s">
        <v>15</v>
      </c>
      <c r="AZ5" s="12">
        <v>4.8000000000000001E-2</v>
      </c>
      <c r="BA5" s="12">
        <v>6.4000000000000001E-2</v>
      </c>
      <c r="BB5" s="12">
        <v>0.188</v>
      </c>
      <c r="BC5" s="12">
        <v>0.30499999999999999</v>
      </c>
      <c r="BD5" s="13">
        <v>0.54400000000000004</v>
      </c>
      <c r="BE5" s="107">
        <v>0.77300000000000002</v>
      </c>
      <c r="BF5" s="107">
        <v>0.873</v>
      </c>
      <c r="BG5" s="28">
        <v>1.65</v>
      </c>
      <c r="BH5" s="11">
        <v>2.8839999999999999</v>
      </c>
      <c r="BI5" s="17">
        <v>3.9</v>
      </c>
      <c r="BJ5" s="213" t="s">
        <v>131</v>
      </c>
      <c r="BK5" s="21">
        <v>4.8000000000000001E-2</v>
      </c>
      <c r="BN5" s="690"/>
      <c r="BO5" s="408" t="s">
        <v>15</v>
      </c>
      <c r="BP5" s="12">
        <v>4.9000000000000002E-2</v>
      </c>
      <c r="BQ5" s="12">
        <v>6.6000000000000003E-2</v>
      </c>
      <c r="BR5" s="12">
        <v>0.17399999999999999</v>
      </c>
      <c r="BS5" s="13">
        <v>0.28499999999999998</v>
      </c>
      <c r="BT5" s="13">
        <v>0.48099999999999998</v>
      </c>
      <c r="BU5" s="107">
        <v>0.69899999999999995</v>
      </c>
      <c r="BV5" s="108">
        <v>0.84799999999999998</v>
      </c>
      <c r="BW5" s="26">
        <v>1.575</v>
      </c>
      <c r="BX5" s="17">
        <v>2.9710000000000001</v>
      </c>
      <c r="BY5" s="213" t="s">
        <v>131</v>
      </c>
      <c r="BZ5" s="213" t="s">
        <v>131</v>
      </c>
      <c r="CA5" s="21">
        <v>4.8000000000000001E-2</v>
      </c>
      <c r="CD5" s="690"/>
      <c r="CE5" s="408" t="s">
        <v>15</v>
      </c>
      <c r="CF5" s="12">
        <v>4.9000000000000002E-2</v>
      </c>
      <c r="CG5" s="12">
        <v>6.4000000000000001E-2</v>
      </c>
      <c r="CH5" s="12">
        <v>0.221</v>
      </c>
      <c r="CI5" s="13">
        <v>0.34</v>
      </c>
      <c r="CJ5" s="107">
        <v>0.57399999999999995</v>
      </c>
      <c r="CK5" s="108">
        <v>0.79700000000000004</v>
      </c>
      <c r="CL5" s="108">
        <v>0.96299999999999997</v>
      </c>
      <c r="CM5" s="14">
        <v>1.696</v>
      </c>
      <c r="CN5" s="27">
        <v>3.0720000000000001</v>
      </c>
      <c r="CO5" s="213" t="s">
        <v>131</v>
      </c>
      <c r="CP5" s="213" t="s">
        <v>131</v>
      </c>
      <c r="CQ5" s="21">
        <v>4.8000000000000001E-2</v>
      </c>
      <c r="CT5" s="690"/>
      <c r="CU5" s="10" t="s">
        <v>15</v>
      </c>
      <c r="CV5" s="12">
        <v>7.4999999999999997E-2</v>
      </c>
      <c r="CW5" s="108">
        <v>0.88</v>
      </c>
      <c r="CX5" s="29">
        <v>1.107</v>
      </c>
      <c r="CY5" s="108">
        <v>0.98799999999999999</v>
      </c>
      <c r="CZ5" s="28">
        <v>1.3660000000000001</v>
      </c>
      <c r="DA5" s="26">
        <v>1.663</v>
      </c>
      <c r="DB5" s="14">
        <v>1.8959999999999999</v>
      </c>
      <c r="DC5" s="11">
        <v>2.7250000000000001</v>
      </c>
      <c r="DD5" s="213" t="s">
        <v>131</v>
      </c>
      <c r="DE5" s="213" t="s">
        <v>131</v>
      </c>
      <c r="DF5" s="213" t="s">
        <v>131</v>
      </c>
      <c r="DG5" s="12">
        <v>8.7999999999999995E-2</v>
      </c>
    </row>
    <row r="6" spans="1:111" x14ac:dyDescent="0.25">
      <c r="B6" s="714"/>
      <c r="C6" s="10" t="s">
        <v>16</v>
      </c>
      <c r="D6" s="12">
        <v>0.16500000000000001</v>
      </c>
      <c r="E6" s="26">
        <v>1.681</v>
      </c>
      <c r="F6" s="28">
        <v>1.56</v>
      </c>
      <c r="G6" s="26">
        <v>1.804</v>
      </c>
      <c r="H6" s="29">
        <v>1.3080000000000001</v>
      </c>
      <c r="I6" s="14">
        <v>2.0139999999999998</v>
      </c>
      <c r="J6" s="28">
        <v>1.546</v>
      </c>
      <c r="K6" s="28">
        <v>1.5289999999999999</v>
      </c>
      <c r="L6" s="26">
        <v>1.712</v>
      </c>
      <c r="M6" s="28">
        <v>1.4830000000000001</v>
      </c>
      <c r="N6" s="12">
        <v>5.3999999999999999E-2</v>
      </c>
      <c r="O6" s="21">
        <v>3.6999999999999998E-2</v>
      </c>
      <c r="R6" s="714"/>
      <c r="S6" s="10" t="s">
        <v>16</v>
      </c>
      <c r="T6" s="12">
        <v>7.2999999999999995E-2</v>
      </c>
      <c r="U6" s="14">
        <v>2.2109999999999999</v>
      </c>
      <c r="V6" s="26">
        <v>1.972</v>
      </c>
      <c r="W6" s="14">
        <v>2.1179999999999999</v>
      </c>
      <c r="X6" s="15">
        <v>2.3079999999999998</v>
      </c>
      <c r="Y6" s="15">
        <v>2.4510000000000001</v>
      </c>
      <c r="Z6" s="11">
        <v>3.016</v>
      </c>
      <c r="AA6" s="12">
        <v>0.121</v>
      </c>
      <c r="AB6" s="12">
        <v>0.26700000000000002</v>
      </c>
      <c r="AC6" s="12">
        <v>0.06</v>
      </c>
      <c r="AD6" s="12">
        <v>4.9000000000000002E-2</v>
      </c>
      <c r="AE6" s="21">
        <v>4.8000000000000001E-2</v>
      </c>
      <c r="AH6" s="714"/>
      <c r="AI6" s="10" t="s">
        <v>16</v>
      </c>
      <c r="AJ6" s="12">
        <v>0.05</v>
      </c>
      <c r="AK6" s="31">
        <v>2.6920000000000002</v>
      </c>
      <c r="AL6" s="15">
        <v>1.984</v>
      </c>
      <c r="AM6" s="11">
        <v>2.39</v>
      </c>
      <c r="AN6" s="16">
        <v>2.1179999999999999</v>
      </c>
      <c r="AO6" s="16">
        <v>2.1349999999999998</v>
      </c>
      <c r="AP6" s="16">
        <v>2.0859999999999999</v>
      </c>
      <c r="AQ6" s="15">
        <v>1.974</v>
      </c>
      <c r="AR6" s="15">
        <v>1.984</v>
      </c>
      <c r="AS6" s="16">
        <v>2.0950000000000002</v>
      </c>
      <c r="AT6" s="16">
        <v>2.1</v>
      </c>
      <c r="AU6" s="21">
        <v>5.1999999999999998E-2</v>
      </c>
      <c r="AX6" s="690"/>
      <c r="AY6" s="125" t="s">
        <v>16</v>
      </c>
      <c r="AZ6" s="12">
        <v>4.8000000000000001E-2</v>
      </c>
      <c r="BA6" s="26">
        <v>1.7649999999999999</v>
      </c>
      <c r="BB6" s="26">
        <v>1.7789999999999999</v>
      </c>
      <c r="BC6" s="26">
        <v>1.72</v>
      </c>
      <c r="BD6" s="28">
        <v>1.5409999999999999</v>
      </c>
      <c r="BE6" s="28">
        <v>1.665</v>
      </c>
      <c r="BF6" s="28">
        <v>1.6259999999999999</v>
      </c>
      <c r="BG6" s="26">
        <v>1.8140000000000001</v>
      </c>
      <c r="BH6" s="26">
        <v>1.7889999999999999</v>
      </c>
      <c r="BI6" s="12">
        <v>4.9000000000000002E-2</v>
      </c>
      <c r="BJ6" s="12">
        <v>4.9000000000000002E-2</v>
      </c>
      <c r="BK6" s="21">
        <v>4.9000000000000002E-2</v>
      </c>
      <c r="BN6" s="690"/>
      <c r="BO6" s="408" t="s">
        <v>16</v>
      </c>
      <c r="BP6" s="12">
        <v>8.2000000000000003E-2</v>
      </c>
      <c r="BQ6" s="14">
        <v>1.627</v>
      </c>
      <c r="BR6" s="15">
        <v>1.921</v>
      </c>
      <c r="BS6" s="14">
        <v>1.8049999999999999</v>
      </c>
      <c r="BT6" s="15">
        <v>1.879</v>
      </c>
      <c r="BU6" s="15">
        <v>1.9570000000000001</v>
      </c>
      <c r="BV6" s="15">
        <v>1.9319999999999999</v>
      </c>
      <c r="BW6" s="16">
        <v>2.161</v>
      </c>
      <c r="BX6" s="11">
        <v>2.2549999999999999</v>
      </c>
      <c r="BY6" s="11">
        <v>2.3250000000000002</v>
      </c>
      <c r="BZ6" s="16">
        <v>2.0499999999999998</v>
      </c>
      <c r="CA6" s="21">
        <v>4.8000000000000001E-2</v>
      </c>
      <c r="CD6" s="690"/>
      <c r="CE6" s="408" t="s">
        <v>16</v>
      </c>
      <c r="CF6" s="12">
        <v>5.5E-2</v>
      </c>
      <c r="CG6" s="14">
        <v>1.873</v>
      </c>
      <c r="CH6" s="11">
        <v>2.4769999999999999</v>
      </c>
      <c r="CI6" s="16">
        <v>2.2719999999999998</v>
      </c>
      <c r="CJ6" s="29">
        <v>1.117</v>
      </c>
      <c r="CK6" s="14">
        <v>1.7170000000000001</v>
      </c>
      <c r="CL6" s="14">
        <v>1.8</v>
      </c>
      <c r="CM6" s="28">
        <v>1.347</v>
      </c>
      <c r="CN6" s="12">
        <v>4.8000000000000001E-2</v>
      </c>
      <c r="CO6" s="12">
        <v>4.8000000000000001E-2</v>
      </c>
      <c r="CP6" s="12">
        <v>7.8E-2</v>
      </c>
      <c r="CQ6" s="21">
        <v>0.05</v>
      </c>
      <c r="CT6" s="690"/>
      <c r="CU6" s="10" t="s">
        <v>16</v>
      </c>
      <c r="CV6" s="12">
        <v>7.5999999999999998E-2</v>
      </c>
      <c r="CW6" s="31">
        <v>2.8540000000000001</v>
      </c>
      <c r="CX6" s="11">
        <v>2.758</v>
      </c>
      <c r="CY6" s="11">
        <v>2.661</v>
      </c>
      <c r="CZ6" s="16">
        <v>2.4870000000000001</v>
      </c>
      <c r="DA6" s="11">
        <v>2.7629999999999999</v>
      </c>
      <c r="DB6" s="11">
        <v>2.673</v>
      </c>
      <c r="DC6" s="11">
        <v>2.6739999999999999</v>
      </c>
      <c r="DD6" s="11">
        <v>2.7959999999999998</v>
      </c>
      <c r="DE6" s="11">
        <v>2.7869999999999999</v>
      </c>
      <c r="DF6" s="31">
        <v>2.8719999999999999</v>
      </c>
      <c r="DG6" s="12">
        <v>9.0999999999999998E-2</v>
      </c>
    </row>
    <row r="7" spans="1:111" x14ac:dyDescent="0.25">
      <c r="B7" s="714"/>
      <c r="C7" s="10" t="s">
        <v>17</v>
      </c>
      <c r="D7" s="12">
        <v>0.16600000000000001</v>
      </c>
      <c r="E7" s="28">
        <v>1.4990000000000001</v>
      </c>
      <c r="F7" s="29">
        <v>1.3340000000000001</v>
      </c>
      <c r="G7" s="29">
        <v>1.3160000000000001</v>
      </c>
      <c r="H7" s="29">
        <v>1.254</v>
      </c>
      <c r="I7" s="14">
        <v>1.9370000000000001</v>
      </c>
      <c r="J7" s="28">
        <v>1.522</v>
      </c>
      <c r="K7" s="28">
        <v>1.583</v>
      </c>
      <c r="L7" s="26">
        <v>1.629</v>
      </c>
      <c r="M7" s="29">
        <v>1.3080000000000001</v>
      </c>
      <c r="N7" s="12">
        <v>4.8000000000000001E-2</v>
      </c>
      <c r="O7" s="21">
        <v>0.05</v>
      </c>
      <c r="R7" s="714"/>
      <c r="S7" s="10" t="s">
        <v>17</v>
      </c>
      <c r="T7" s="12">
        <v>0.05</v>
      </c>
      <c r="U7" s="14">
        <v>2.121</v>
      </c>
      <c r="V7" s="26">
        <v>1.8440000000000001</v>
      </c>
      <c r="W7" s="26">
        <v>1.9790000000000001</v>
      </c>
      <c r="X7" s="14">
        <v>2.073</v>
      </c>
      <c r="Y7" s="15">
        <v>2.286</v>
      </c>
      <c r="Z7" s="11">
        <v>2.972</v>
      </c>
      <c r="AA7" s="12">
        <v>0.06</v>
      </c>
      <c r="AB7" s="12">
        <v>5.2999999999999999E-2</v>
      </c>
      <c r="AC7" s="12">
        <v>5.0999999999999997E-2</v>
      </c>
      <c r="AD7" s="12">
        <v>5.1999999999999998E-2</v>
      </c>
      <c r="AE7" s="21">
        <v>4.8000000000000001E-2</v>
      </c>
      <c r="AH7" s="714"/>
      <c r="AI7" s="10" t="s">
        <v>17</v>
      </c>
      <c r="AJ7" s="12">
        <v>4.9000000000000002E-2</v>
      </c>
      <c r="AK7" s="11">
        <v>2.4569999999999999</v>
      </c>
      <c r="AL7" s="15">
        <v>1.94</v>
      </c>
      <c r="AM7" s="15">
        <v>1.91</v>
      </c>
      <c r="AN7" s="15">
        <v>1.9670000000000001</v>
      </c>
      <c r="AO7" s="14">
        <v>1.7030000000000001</v>
      </c>
      <c r="AP7" s="15">
        <v>2.0409999999999999</v>
      </c>
      <c r="AQ7" s="16">
        <v>2.0699999999999998</v>
      </c>
      <c r="AR7" s="15">
        <v>2.0089999999999999</v>
      </c>
      <c r="AS7" s="16">
        <v>2.0779999999999998</v>
      </c>
      <c r="AT7" s="16">
        <v>2.153</v>
      </c>
      <c r="AU7" s="21">
        <v>0.05</v>
      </c>
      <c r="AX7" s="690"/>
      <c r="AY7" s="125" t="s">
        <v>17</v>
      </c>
      <c r="AZ7" s="12">
        <v>0.05</v>
      </c>
      <c r="BA7" s="26">
        <v>1.776</v>
      </c>
      <c r="BB7" s="26">
        <v>1.78</v>
      </c>
      <c r="BC7" s="26">
        <v>1.7070000000000001</v>
      </c>
      <c r="BD7" s="28">
        <v>1.538</v>
      </c>
      <c r="BE7" s="28">
        <v>1.5640000000000001</v>
      </c>
      <c r="BF7" s="28">
        <v>1.615</v>
      </c>
      <c r="BG7" s="26">
        <v>1.804</v>
      </c>
      <c r="BH7" s="26">
        <v>1.766</v>
      </c>
      <c r="BI7" s="12">
        <v>4.8000000000000001E-2</v>
      </c>
      <c r="BJ7" s="12">
        <v>4.8000000000000001E-2</v>
      </c>
      <c r="BK7" s="21">
        <v>4.9000000000000002E-2</v>
      </c>
      <c r="BN7" s="690"/>
      <c r="BO7" s="408" t="s">
        <v>17</v>
      </c>
      <c r="BP7" s="12">
        <v>4.8000000000000001E-2</v>
      </c>
      <c r="BQ7" s="14">
        <v>1.6120000000000001</v>
      </c>
      <c r="BR7" s="15">
        <v>1.913</v>
      </c>
      <c r="BS7" s="14">
        <v>1.7490000000000001</v>
      </c>
      <c r="BT7" s="15">
        <v>1.9370000000000001</v>
      </c>
      <c r="BU7" s="15">
        <v>2.0129999999999999</v>
      </c>
      <c r="BV7" s="15">
        <v>2</v>
      </c>
      <c r="BW7" s="11">
        <v>2.302</v>
      </c>
      <c r="BX7" s="11">
        <v>2.4159999999999999</v>
      </c>
      <c r="BY7" s="11">
        <v>2.4350000000000001</v>
      </c>
      <c r="BZ7" s="16">
        <v>2.0859999999999999</v>
      </c>
      <c r="CA7" s="21">
        <v>4.8000000000000001E-2</v>
      </c>
      <c r="CD7" s="690"/>
      <c r="CE7" s="408" t="s">
        <v>17</v>
      </c>
      <c r="CF7" s="12">
        <v>0.05</v>
      </c>
      <c r="CG7" s="14">
        <v>1.893</v>
      </c>
      <c r="CH7" s="11">
        <v>2.5720000000000001</v>
      </c>
      <c r="CI7" s="11">
        <v>2.5009999999999999</v>
      </c>
      <c r="CJ7" s="29">
        <v>1.1739999999999999</v>
      </c>
      <c r="CK7" s="14">
        <v>1.762</v>
      </c>
      <c r="CL7" s="14">
        <v>1.8169999999999999</v>
      </c>
      <c r="CM7" s="28">
        <v>1.341</v>
      </c>
      <c r="CN7" s="12">
        <v>4.9000000000000002E-2</v>
      </c>
      <c r="CO7" s="12">
        <v>4.9000000000000002E-2</v>
      </c>
      <c r="CP7" s="12">
        <v>4.9000000000000002E-2</v>
      </c>
      <c r="CQ7" s="21">
        <v>5.7000000000000002E-2</v>
      </c>
      <c r="CT7" s="690"/>
      <c r="CU7" s="10" t="s">
        <v>17</v>
      </c>
      <c r="CV7" s="12">
        <v>8.7999999999999995E-2</v>
      </c>
      <c r="CW7" s="31">
        <v>3.0339999999999998</v>
      </c>
      <c r="CX7" s="31">
        <v>2.9249999999999998</v>
      </c>
      <c r="CY7" s="31">
        <v>2.879</v>
      </c>
      <c r="CZ7" s="11">
        <v>2.65</v>
      </c>
      <c r="DA7" s="31">
        <v>2.9870000000000001</v>
      </c>
      <c r="DB7" s="31">
        <v>2.9089999999999998</v>
      </c>
      <c r="DC7" s="31">
        <v>3.08</v>
      </c>
      <c r="DD7" s="31">
        <v>2.9350000000000001</v>
      </c>
      <c r="DE7" s="31">
        <v>3.0129999999999999</v>
      </c>
      <c r="DF7" s="31">
        <v>3.0489999999999999</v>
      </c>
      <c r="DG7" s="12">
        <v>9.2999999999999999E-2</v>
      </c>
    </row>
    <row r="8" spans="1:111" x14ac:dyDescent="0.25">
      <c r="B8" s="714"/>
      <c r="C8" s="10" t="s">
        <v>18</v>
      </c>
      <c r="D8" s="12">
        <v>4.9000000000000002E-2</v>
      </c>
      <c r="E8" s="26">
        <v>1.8029999999999999</v>
      </c>
      <c r="F8" s="26">
        <v>1.655</v>
      </c>
      <c r="G8" s="28">
        <v>1.4239999999999999</v>
      </c>
      <c r="H8" s="14">
        <v>2.0169999999999999</v>
      </c>
      <c r="I8" s="14">
        <v>1.96</v>
      </c>
      <c r="J8" s="26">
        <v>1.7250000000000001</v>
      </c>
      <c r="K8" s="12">
        <v>0.09</v>
      </c>
      <c r="L8" s="12">
        <v>6.0999999999999999E-2</v>
      </c>
      <c r="M8" s="12">
        <v>0.05</v>
      </c>
      <c r="N8" s="12">
        <v>4.9000000000000002E-2</v>
      </c>
      <c r="O8" s="21">
        <v>4.9000000000000002E-2</v>
      </c>
      <c r="R8" s="714"/>
      <c r="S8" s="10" t="s">
        <v>18</v>
      </c>
      <c r="T8" s="12">
        <v>0.05</v>
      </c>
      <c r="U8" s="14">
        <v>2.2189999999999999</v>
      </c>
      <c r="V8" s="16">
        <v>2.778</v>
      </c>
      <c r="W8" s="26">
        <v>1.897</v>
      </c>
      <c r="X8" s="16">
        <v>2.7360000000000002</v>
      </c>
      <c r="Y8" s="15">
        <v>2.2949999999999999</v>
      </c>
      <c r="Z8" s="26">
        <v>1.9219999999999999</v>
      </c>
      <c r="AA8" s="12">
        <v>0.05</v>
      </c>
      <c r="AB8" s="12">
        <v>5.7000000000000002E-2</v>
      </c>
      <c r="AC8" s="12">
        <v>4.9000000000000002E-2</v>
      </c>
      <c r="AD8" s="12">
        <v>0.05</v>
      </c>
      <c r="AE8" s="21">
        <v>4.9000000000000002E-2</v>
      </c>
      <c r="AH8" s="714"/>
      <c r="AI8" s="10" t="s">
        <v>18</v>
      </c>
      <c r="AJ8" s="12">
        <v>0.05</v>
      </c>
      <c r="AK8" s="15">
        <v>2</v>
      </c>
      <c r="AL8" s="16">
        <v>2.121</v>
      </c>
      <c r="AM8" s="28">
        <v>1.3</v>
      </c>
      <c r="AN8" s="26">
        <v>1.5</v>
      </c>
      <c r="AO8" s="26">
        <v>1.56</v>
      </c>
      <c r="AP8" s="26">
        <v>1.47</v>
      </c>
      <c r="AQ8" s="12">
        <v>4.9000000000000002E-2</v>
      </c>
      <c r="AR8" s="12">
        <v>0.13700000000000001</v>
      </c>
      <c r="AS8" s="12">
        <v>0.16700000000000001</v>
      </c>
      <c r="AT8" s="12">
        <v>0.20899999999999999</v>
      </c>
      <c r="AU8" s="21">
        <v>0.186</v>
      </c>
      <c r="AX8" s="690"/>
      <c r="AY8" s="125" t="s">
        <v>18</v>
      </c>
      <c r="AZ8" s="12">
        <v>0.05</v>
      </c>
      <c r="BA8" s="14">
        <v>2.1669999999999998</v>
      </c>
      <c r="BB8" s="14">
        <v>2.097</v>
      </c>
      <c r="BC8" s="14">
        <v>2.2029999999999998</v>
      </c>
      <c r="BD8" s="26">
        <v>1.827</v>
      </c>
      <c r="BE8" s="26">
        <v>1.948</v>
      </c>
      <c r="BF8" s="26">
        <v>1.89</v>
      </c>
      <c r="BG8" s="14">
        <v>2.1030000000000002</v>
      </c>
      <c r="BH8" s="26">
        <v>1.972</v>
      </c>
      <c r="BI8" s="14">
        <v>2.016</v>
      </c>
      <c r="BJ8" s="12">
        <v>4.9000000000000002E-2</v>
      </c>
      <c r="BK8" s="21">
        <v>4.9000000000000002E-2</v>
      </c>
      <c r="BN8" s="690"/>
      <c r="BO8" s="408" t="s">
        <v>18</v>
      </c>
      <c r="BP8" s="12">
        <v>4.9000000000000002E-2</v>
      </c>
      <c r="BQ8" s="16">
        <v>2.0779999999999998</v>
      </c>
      <c r="BR8" s="14">
        <v>1.621</v>
      </c>
      <c r="BS8" s="14">
        <v>1.7170000000000001</v>
      </c>
      <c r="BT8" s="15">
        <v>1.96</v>
      </c>
      <c r="BU8" s="14">
        <v>1.7549999999999999</v>
      </c>
      <c r="BV8" s="12">
        <v>4.9000000000000002E-2</v>
      </c>
      <c r="BW8" s="12">
        <v>4.9000000000000002E-2</v>
      </c>
      <c r="BX8" s="12">
        <v>4.9000000000000002E-2</v>
      </c>
      <c r="BY8" s="12">
        <v>4.9000000000000002E-2</v>
      </c>
      <c r="BZ8" s="12">
        <v>4.9000000000000002E-2</v>
      </c>
      <c r="CA8" s="21">
        <v>4.9000000000000002E-2</v>
      </c>
      <c r="CD8" s="690"/>
      <c r="CE8" s="408" t="s">
        <v>18</v>
      </c>
      <c r="CF8" s="12">
        <v>0.05</v>
      </c>
      <c r="CG8" s="14">
        <v>1.889</v>
      </c>
      <c r="CH8" s="26">
        <v>1.637</v>
      </c>
      <c r="CI8" s="14">
        <v>1.9139999999999999</v>
      </c>
      <c r="CJ8" s="31">
        <v>2.84</v>
      </c>
      <c r="CK8" s="15">
        <v>1.944</v>
      </c>
      <c r="CL8" s="14">
        <v>1.911</v>
      </c>
      <c r="CM8" s="26">
        <v>1.472</v>
      </c>
      <c r="CN8" s="15">
        <v>2.1139999999999999</v>
      </c>
      <c r="CO8" s="16">
        <v>2.1619999999999999</v>
      </c>
      <c r="CP8" s="12">
        <v>4.9000000000000002E-2</v>
      </c>
      <c r="CQ8" s="21">
        <v>0.05</v>
      </c>
      <c r="CT8" s="690"/>
      <c r="CU8" s="10" t="s">
        <v>18</v>
      </c>
      <c r="CV8" s="12">
        <v>8.5000000000000006E-2</v>
      </c>
      <c r="CW8" s="17">
        <v>3.605</v>
      </c>
      <c r="CX8" s="31">
        <v>2.94</v>
      </c>
      <c r="CY8" s="31">
        <v>2.9119999999999999</v>
      </c>
      <c r="CZ8" s="11">
        <v>2.74</v>
      </c>
      <c r="DA8" s="16">
        <v>2.5</v>
      </c>
      <c r="DB8" s="11">
        <v>2.8</v>
      </c>
      <c r="DC8" s="12">
        <v>8.6999999999999994E-2</v>
      </c>
      <c r="DD8" s="12">
        <v>8.7999999999999995E-2</v>
      </c>
      <c r="DE8" s="12">
        <v>8.6999999999999994E-2</v>
      </c>
      <c r="DF8" s="12">
        <v>8.5999999999999993E-2</v>
      </c>
      <c r="DG8" s="12">
        <v>8.5999999999999993E-2</v>
      </c>
    </row>
    <row r="9" spans="1:111" x14ac:dyDescent="0.25">
      <c r="B9" s="714"/>
      <c r="C9" s="10" t="s">
        <v>19</v>
      </c>
      <c r="D9" s="12">
        <v>4.9000000000000002E-2</v>
      </c>
      <c r="E9" s="26">
        <v>1.8320000000000001</v>
      </c>
      <c r="F9" s="26">
        <v>1.8560000000000001</v>
      </c>
      <c r="G9" s="28">
        <v>1.3919999999999999</v>
      </c>
      <c r="H9" s="26">
        <v>1.81</v>
      </c>
      <c r="I9" s="26">
        <v>1.738</v>
      </c>
      <c r="J9" s="26">
        <v>1.663</v>
      </c>
      <c r="K9" s="12">
        <v>4.8000000000000001E-2</v>
      </c>
      <c r="L9" s="12">
        <v>6.3E-2</v>
      </c>
      <c r="M9" s="12">
        <v>5.3999999999999999E-2</v>
      </c>
      <c r="N9" s="12">
        <v>5.2999999999999999E-2</v>
      </c>
      <c r="O9" s="21">
        <v>5.8999999999999997E-2</v>
      </c>
      <c r="R9" s="714"/>
      <c r="S9" s="10" t="s">
        <v>19</v>
      </c>
      <c r="T9" s="12">
        <v>0.28699999999999998</v>
      </c>
      <c r="U9" s="14">
        <v>2.181</v>
      </c>
      <c r="V9" s="16">
        <v>2.5979999999999999</v>
      </c>
      <c r="W9" s="26">
        <v>1.806</v>
      </c>
      <c r="X9" s="15">
        <v>2.472</v>
      </c>
      <c r="Y9" s="14">
        <v>2.2170000000000001</v>
      </c>
      <c r="Z9" s="26">
        <v>1.9470000000000001</v>
      </c>
      <c r="AA9" s="12">
        <v>4.9000000000000002E-2</v>
      </c>
      <c r="AB9" s="12">
        <v>4.8000000000000001E-2</v>
      </c>
      <c r="AC9" s="12">
        <v>4.9000000000000002E-2</v>
      </c>
      <c r="AD9" s="12">
        <v>4.9000000000000002E-2</v>
      </c>
      <c r="AE9" s="21">
        <v>5.1999999999999998E-2</v>
      </c>
      <c r="AH9" s="714"/>
      <c r="AI9" s="10" t="s">
        <v>19</v>
      </c>
      <c r="AJ9" s="12">
        <v>0.13900000000000001</v>
      </c>
      <c r="AK9" s="15">
        <v>1.9390000000000001</v>
      </c>
      <c r="AL9" s="15">
        <v>1.93</v>
      </c>
      <c r="AM9" s="28">
        <v>1.26</v>
      </c>
      <c r="AN9" s="26">
        <v>1.46</v>
      </c>
      <c r="AO9" s="26">
        <v>1.532</v>
      </c>
      <c r="AP9" s="26">
        <v>1.49</v>
      </c>
      <c r="AQ9" s="12">
        <v>7.8E-2</v>
      </c>
      <c r="AR9" s="12">
        <v>7.6999999999999999E-2</v>
      </c>
      <c r="AS9" s="12">
        <v>5.0999999999999997E-2</v>
      </c>
      <c r="AT9" s="12">
        <v>0.05</v>
      </c>
      <c r="AU9" s="21">
        <v>5.2999999999999999E-2</v>
      </c>
      <c r="AX9" s="690"/>
      <c r="AY9" s="125" t="s">
        <v>19</v>
      </c>
      <c r="AZ9" s="12">
        <v>0.05</v>
      </c>
      <c r="BA9" s="14">
        <v>2.173</v>
      </c>
      <c r="BB9" s="14">
        <v>2.1230000000000002</v>
      </c>
      <c r="BC9" s="14">
        <v>2.2210000000000001</v>
      </c>
      <c r="BD9" s="26">
        <v>1.921</v>
      </c>
      <c r="BE9" s="14">
        <v>2</v>
      </c>
      <c r="BF9" s="14">
        <v>1.984</v>
      </c>
      <c r="BG9" s="14">
        <v>2.1829999999999998</v>
      </c>
      <c r="BH9" s="14">
        <v>2.0939999999999999</v>
      </c>
      <c r="BI9" s="26">
        <v>1.84</v>
      </c>
      <c r="BJ9" s="12">
        <v>4.9000000000000002E-2</v>
      </c>
      <c r="BK9" s="21">
        <v>4.9000000000000002E-2</v>
      </c>
      <c r="BN9" s="690"/>
      <c r="BO9" s="408" t="s">
        <v>19</v>
      </c>
      <c r="BP9" s="12">
        <v>4.9000000000000002E-2</v>
      </c>
      <c r="BQ9" s="16">
        <v>2.2120000000000002</v>
      </c>
      <c r="BR9" s="14">
        <v>1.74</v>
      </c>
      <c r="BS9" s="15">
        <v>1.869</v>
      </c>
      <c r="BT9" s="16">
        <v>2.0760000000000001</v>
      </c>
      <c r="BU9" s="15">
        <v>1.827</v>
      </c>
      <c r="BV9" s="12">
        <v>4.9000000000000002E-2</v>
      </c>
      <c r="BW9" s="12">
        <v>0.05</v>
      </c>
      <c r="BX9" s="12">
        <v>0.05</v>
      </c>
      <c r="BY9" s="12">
        <v>4.9000000000000002E-2</v>
      </c>
      <c r="BZ9" s="12">
        <v>6.3E-2</v>
      </c>
      <c r="CA9" s="21">
        <v>6.2E-2</v>
      </c>
      <c r="CD9" s="690"/>
      <c r="CE9" s="408" t="s">
        <v>19</v>
      </c>
      <c r="CF9" s="12">
        <v>5.0999999999999997E-2</v>
      </c>
      <c r="CG9" s="14">
        <v>1.911</v>
      </c>
      <c r="CH9" s="14">
        <v>1.698</v>
      </c>
      <c r="CI9" s="15">
        <v>2.0129999999999999</v>
      </c>
      <c r="CJ9" s="17">
        <v>3.1549999999999998</v>
      </c>
      <c r="CK9" s="16">
        <v>2.1819999999999999</v>
      </c>
      <c r="CL9" s="15">
        <v>1.9830000000000001</v>
      </c>
      <c r="CM9" s="26">
        <v>1.5429999999999999</v>
      </c>
      <c r="CN9" s="16">
        <v>2.16</v>
      </c>
      <c r="CO9" s="16">
        <v>2.1720000000000002</v>
      </c>
      <c r="CP9" s="12">
        <v>0.05</v>
      </c>
      <c r="CQ9" s="21">
        <v>5.3999999999999999E-2</v>
      </c>
      <c r="CT9" s="690"/>
      <c r="CU9" s="10" t="s">
        <v>19</v>
      </c>
      <c r="CV9" s="12">
        <v>7.8E-2</v>
      </c>
      <c r="CW9" s="27">
        <v>3.1619999999999999</v>
      </c>
      <c r="CX9" s="31">
        <v>3.0830000000000002</v>
      </c>
      <c r="CY9" s="31">
        <v>3.077</v>
      </c>
      <c r="CZ9" s="11">
        <v>2.7650000000000001</v>
      </c>
      <c r="DA9" s="31">
        <v>2.8759999999999999</v>
      </c>
      <c r="DB9" s="31">
        <v>2.9790000000000001</v>
      </c>
      <c r="DC9" s="12">
        <v>9.1999999999999998E-2</v>
      </c>
      <c r="DD9" s="12">
        <v>9.2999999999999999E-2</v>
      </c>
      <c r="DE9" s="12">
        <v>9.0999999999999998E-2</v>
      </c>
      <c r="DF9" s="12">
        <v>8.8999999999999996E-2</v>
      </c>
      <c r="DG9" s="12">
        <v>0.09</v>
      </c>
    </row>
    <row r="10" spans="1:111" ht="15.75" thickBot="1" x14ac:dyDescent="0.3">
      <c r="B10" s="715"/>
      <c r="C10" s="22" t="s">
        <v>20</v>
      </c>
      <c r="D10" s="24">
        <v>5.3999999999999999E-2</v>
      </c>
      <c r="E10" s="24">
        <v>0.05</v>
      </c>
      <c r="F10" s="24">
        <v>4.9000000000000002E-2</v>
      </c>
      <c r="G10" s="24">
        <v>4.9000000000000002E-2</v>
      </c>
      <c r="H10" s="24">
        <v>4.9000000000000002E-2</v>
      </c>
      <c r="I10" s="24">
        <v>4.9000000000000002E-2</v>
      </c>
      <c r="J10" s="24">
        <v>0.14199999999999999</v>
      </c>
      <c r="K10" s="24">
        <v>7.2999999999999995E-2</v>
      </c>
      <c r="L10" s="24">
        <v>5.8999999999999997E-2</v>
      </c>
      <c r="M10" s="24">
        <v>5.0999999999999997E-2</v>
      </c>
      <c r="N10" s="24">
        <v>4.8000000000000001E-2</v>
      </c>
      <c r="O10" s="25">
        <v>5.0999999999999997E-2</v>
      </c>
      <c r="R10" s="715"/>
      <c r="S10" s="22" t="s">
        <v>20</v>
      </c>
      <c r="T10" s="24">
        <v>0.05</v>
      </c>
      <c r="U10" s="24">
        <v>0.05</v>
      </c>
      <c r="V10" s="24">
        <v>0.05</v>
      </c>
      <c r="W10" s="24">
        <v>4.9000000000000002E-2</v>
      </c>
      <c r="X10" s="24">
        <v>5.0999999999999997E-2</v>
      </c>
      <c r="Y10" s="24">
        <v>4.9000000000000002E-2</v>
      </c>
      <c r="Z10" s="24">
        <v>4.9000000000000002E-2</v>
      </c>
      <c r="AA10" s="24">
        <v>4.8000000000000001E-2</v>
      </c>
      <c r="AB10" s="24">
        <v>0.05</v>
      </c>
      <c r="AC10" s="24">
        <v>4.8000000000000001E-2</v>
      </c>
      <c r="AD10" s="24">
        <v>4.8000000000000001E-2</v>
      </c>
      <c r="AE10" s="25">
        <v>4.8000000000000001E-2</v>
      </c>
      <c r="AH10" s="715"/>
      <c r="AI10" s="22" t="s">
        <v>20</v>
      </c>
      <c r="AJ10" s="24">
        <v>4.9000000000000002E-2</v>
      </c>
      <c r="AK10" s="24">
        <v>5.6000000000000001E-2</v>
      </c>
      <c r="AL10" s="24">
        <v>4.8000000000000001E-2</v>
      </c>
      <c r="AM10" s="24">
        <v>4.8000000000000001E-2</v>
      </c>
      <c r="AN10" s="24">
        <v>5.7000000000000002E-2</v>
      </c>
      <c r="AO10" s="24">
        <v>7.3999999999999996E-2</v>
      </c>
      <c r="AP10" s="24">
        <v>4.9000000000000002E-2</v>
      </c>
      <c r="AQ10" s="24">
        <v>0.115</v>
      </c>
      <c r="AR10" s="24">
        <v>4.9000000000000002E-2</v>
      </c>
      <c r="AS10" s="24">
        <v>0.05</v>
      </c>
      <c r="AT10" s="24">
        <v>0.05</v>
      </c>
      <c r="AU10" s="25">
        <v>5.8999999999999997E-2</v>
      </c>
      <c r="AX10" s="691"/>
      <c r="AY10" s="125" t="s">
        <v>20</v>
      </c>
      <c r="AZ10" s="12">
        <v>4.9000000000000002E-2</v>
      </c>
      <c r="BA10" s="12">
        <v>4.9000000000000002E-2</v>
      </c>
      <c r="BB10" s="12">
        <v>4.9000000000000002E-2</v>
      </c>
      <c r="BC10" s="12">
        <v>8.2000000000000003E-2</v>
      </c>
      <c r="BD10" s="12">
        <v>4.9000000000000002E-2</v>
      </c>
      <c r="BE10" s="314">
        <v>4.8000000000000001E-2</v>
      </c>
      <c r="BF10" s="314">
        <v>4.9000000000000002E-2</v>
      </c>
      <c r="BG10" s="314">
        <v>4.8000000000000001E-2</v>
      </c>
      <c r="BH10" s="314">
        <v>4.8000000000000001E-2</v>
      </c>
      <c r="BI10" s="314">
        <v>4.8000000000000001E-2</v>
      </c>
      <c r="BJ10" s="314">
        <v>4.9000000000000002E-2</v>
      </c>
      <c r="BK10" s="321">
        <v>4.8000000000000001E-2</v>
      </c>
      <c r="BN10" s="691"/>
      <c r="BO10" s="409" t="s">
        <v>20</v>
      </c>
      <c r="BP10" s="24">
        <v>5.5E-2</v>
      </c>
      <c r="BQ10" s="24">
        <v>6.2E-2</v>
      </c>
      <c r="BR10" s="24">
        <v>4.8000000000000001E-2</v>
      </c>
      <c r="BS10" s="24">
        <v>4.8000000000000001E-2</v>
      </c>
      <c r="BT10" s="24">
        <v>4.9000000000000002E-2</v>
      </c>
      <c r="BU10" s="24">
        <v>0.05</v>
      </c>
      <c r="BV10" s="24">
        <v>6.7000000000000004E-2</v>
      </c>
      <c r="BW10" s="24">
        <v>5.7000000000000002E-2</v>
      </c>
      <c r="BX10" s="24">
        <v>5.6000000000000001E-2</v>
      </c>
      <c r="BY10" s="24">
        <v>5.5E-2</v>
      </c>
      <c r="BZ10" s="24">
        <v>5.0999999999999997E-2</v>
      </c>
      <c r="CA10" s="25">
        <v>5.8000000000000003E-2</v>
      </c>
      <c r="CD10" s="691"/>
      <c r="CE10" s="409" t="s">
        <v>20</v>
      </c>
      <c r="CF10" s="24">
        <v>6.3E-2</v>
      </c>
      <c r="CG10" s="24">
        <v>6.3E-2</v>
      </c>
      <c r="CH10" s="24">
        <v>0.22900000000000001</v>
      </c>
      <c r="CI10" s="24">
        <v>0.05</v>
      </c>
      <c r="CJ10" s="24">
        <v>5.6000000000000001E-2</v>
      </c>
      <c r="CK10" s="24">
        <v>5.8000000000000003E-2</v>
      </c>
      <c r="CL10" s="24">
        <v>4.9000000000000002E-2</v>
      </c>
      <c r="CM10" s="24">
        <v>4.9000000000000002E-2</v>
      </c>
      <c r="CN10" s="24">
        <v>4.9000000000000002E-2</v>
      </c>
      <c r="CO10" s="24">
        <v>4.9000000000000002E-2</v>
      </c>
      <c r="CP10" s="24">
        <v>5.0999999999999997E-2</v>
      </c>
      <c r="CQ10" s="25">
        <v>6.0999999999999999E-2</v>
      </c>
      <c r="CT10" s="691"/>
      <c r="CU10" s="10" t="s">
        <v>20</v>
      </c>
      <c r="CV10" s="12">
        <v>9.2999999999999999E-2</v>
      </c>
      <c r="CW10" s="12">
        <v>8.5999999999999993E-2</v>
      </c>
      <c r="CX10" s="12">
        <v>0.19500000000000001</v>
      </c>
      <c r="CY10" s="12">
        <v>9.7000000000000003E-2</v>
      </c>
      <c r="CZ10" s="12">
        <v>8.6999999999999994E-2</v>
      </c>
      <c r="DA10" s="12">
        <v>8.5999999999999993E-2</v>
      </c>
      <c r="DB10" s="12">
        <v>0.154</v>
      </c>
      <c r="DC10" s="12">
        <v>9.8000000000000004E-2</v>
      </c>
      <c r="DD10" s="12">
        <v>0.1</v>
      </c>
      <c r="DE10" s="12">
        <v>0.10100000000000001</v>
      </c>
      <c r="DF10" s="12">
        <v>9.4E-2</v>
      </c>
      <c r="DG10" s="12">
        <v>0.1</v>
      </c>
    </row>
    <row r="11" spans="1:111" ht="15.75" thickBot="1" x14ac:dyDescent="0.3">
      <c r="B11" s="704" t="s">
        <v>99</v>
      </c>
      <c r="C11" s="705"/>
      <c r="D11" s="705"/>
      <c r="E11" s="705"/>
      <c r="F11" s="705"/>
      <c r="G11" s="705"/>
      <c r="H11" s="764"/>
      <c r="I11" s="778">
        <f>AVERAGE(D3:D10,E3:N3,O3:O10,E10:N10,N6:N9,K8:M9)</f>
        <v>6.586956521739129E-2</v>
      </c>
      <c r="J11" s="779"/>
      <c r="K11" s="779"/>
      <c r="L11" s="779"/>
      <c r="M11" s="779"/>
      <c r="N11" s="779"/>
      <c r="O11" s="780"/>
      <c r="R11" s="704" t="s">
        <v>99</v>
      </c>
      <c r="S11" s="705"/>
      <c r="T11" s="705"/>
      <c r="U11" s="705"/>
      <c r="V11" s="705"/>
      <c r="W11" s="705"/>
      <c r="X11" s="764"/>
      <c r="Y11" s="778">
        <f>AVERAGE(T3:T10,U3:AD3,AE3:AE10,U10:AD10,AA6:AD9)</f>
        <v>7.928846153846153E-2</v>
      </c>
      <c r="Z11" s="779"/>
      <c r="AA11" s="779"/>
      <c r="AB11" s="779"/>
      <c r="AC11" s="779"/>
      <c r="AD11" s="779"/>
      <c r="AE11" s="780"/>
      <c r="AH11" s="704" t="s">
        <v>99</v>
      </c>
      <c r="AI11" s="705"/>
      <c r="AJ11" s="705"/>
      <c r="AK11" s="705"/>
      <c r="AL11" s="705"/>
      <c r="AM11" s="705"/>
      <c r="AN11" s="705"/>
      <c r="AO11" s="705">
        <f>AVERAGE(AJ3:AJ10,AK3:AU3,AU4:AU10,AK10:AT10,AQ8:AT9)</f>
        <v>6.6886363636363633E-2</v>
      </c>
      <c r="AP11" s="705"/>
      <c r="AQ11" s="705"/>
      <c r="AR11" s="705"/>
      <c r="AS11" s="705"/>
      <c r="AT11" s="705"/>
      <c r="AU11" s="706"/>
      <c r="AX11" s="704" t="s">
        <v>99</v>
      </c>
      <c r="AY11" s="705"/>
      <c r="AZ11" s="705"/>
      <c r="BA11" s="705"/>
      <c r="BB11" s="705"/>
      <c r="BC11" s="705"/>
      <c r="BD11" s="705"/>
      <c r="BE11" s="704">
        <f>AVERAGE(AZ3:AZ10,BA10:BJ10,BK3:BK10,BA3:BJ3,BI6:BJ7,BJ8:BJ9)</f>
        <v>5.1428571428571421E-2</v>
      </c>
      <c r="BF11" s="705"/>
      <c r="BG11" s="705"/>
      <c r="BH11" s="705"/>
      <c r="BI11" s="705"/>
      <c r="BJ11" s="705"/>
      <c r="BK11" s="706"/>
      <c r="BN11" s="704" t="s">
        <v>99</v>
      </c>
      <c r="BO11" s="649"/>
      <c r="BP11" s="649"/>
      <c r="BQ11" s="649"/>
      <c r="BR11" s="649"/>
      <c r="BS11" s="649"/>
      <c r="BT11" s="649"/>
      <c r="BU11" s="704">
        <f>AVERAGE(BP3:BP10,BQ3:CA3,CA4:CA9,BQ10:CA10,BV8:BZ9)</f>
        <v>5.1586956521739127E-2</v>
      </c>
      <c r="BV11" s="705"/>
      <c r="BW11" s="705"/>
      <c r="BX11" s="705"/>
      <c r="BY11" s="705"/>
      <c r="BZ11" s="705"/>
      <c r="CA11" s="706"/>
      <c r="CD11" s="704" t="s">
        <v>99</v>
      </c>
      <c r="CE11" s="649"/>
      <c r="CF11" s="649"/>
      <c r="CG11" s="649"/>
      <c r="CH11" s="649"/>
      <c r="CI11" s="649"/>
      <c r="CJ11" s="649"/>
      <c r="CK11" s="704">
        <f>AVERAGE(CF3:CQ3,CF10:CQ10,CF4:CF9,CQ4:CQ9,CN6:CP7,CP8:CP9)</f>
        <v>5.5431818181818152E-2</v>
      </c>
      <c r="CL11" s="705"/>
      <c r="CM11" s="705"/>
      <c r="CN11" s="705"/>
      <c r="CO11" s="705"/>
      <c r="CP11" s="705"/>
      <c r="CQ11" s="706"/>
      <c r="CT11" s="704" t="s">
        <v>99</v>
      </c>
      <c r="CU11" s="649"/>
      <c r="CV11" s="649"/>
      <c r="CW11" s="649"/>
      <c r="CX11" s="649"/>
      <c r="CY11" s="649"/>
      <c r="CZ11" s="649"/>
      <c r="DA11" s="704">
        <f>AVERAGE(CV3:DG3,CV10:DG10,CV4:CV9,DG4:DG9,DC8:DF9)</f>
        <v>9.1431818181818197E-2</v>
      </c>
      <c r="DB11" s="705"/>
      <c r="DC11" s="705"/>
      <c r="DD11" s="705"/>
      <c r="DE11" s="705"/>
      <c r="DF11" s="705"/>
      <c r="DG11" s="706"/>
    </row>
    <row r="12" spans="1:111" x14ac:dyDescent="0.25">
      <c r="B12" s="713" t="s">
        <v>134</v>
      </c>
      <c r="C12" s="18"/>
      <c r="D12" s="19">
        <v>1</v>
      </c>
      <c r="E12" s="19">
        <v>2</v>
      </c>
      <c r="F12" s="19">
        <v>3</v>
      </c>
      <c r="G12" s="19">
        <v>4</v>
      </c>
      <c r="H12" s="19">
        <v>5</v>
      </c>
      <c r="I12" s="19">
        <v>6</v>
      </c>
      <c r="J12" s="19">
        <v>7</v>
      </c>
      <c r="K12" s="19">
        <v>8</v>
      </c>
      <c r="L12" s="19">
        <v>9</v>
      </c>
      <c r="M12" s="19">
        <v>10</v>
      </c>
      <c r="N12" s="19">
        <v>11</v>
      </c>
      <c r="O12" s="20">
        <v>12</v>
      </c>
      <c r="R12" s="713" t="s">
        <v>135</v>
      </c>
      <c r="S12" s="18"/>
      <c r="T12" s="19">
        <v>1</v>
      </c>
      <c r="U12" s="19">
        <v>2</v>
      </c>
      <c r="V12" s="19">
        <v>3</v>
      </c>
      <c r="W12" s="19">
        <v>4</v>
      </c>
      <c r="X12" s="19">
        <v>5</v>
      </c>
      <c r="Y12" s="19">
        <v>6</v>
      </c>
      <c r="Z12" s="19">
        <v>7</v>
      </c>
      <c r="AA12" s="19">
        <v>8</v>
      </c>
      <c r="AB12" s="19">
        <v>9</v>
      </c>
      <c r="AC12" s="19">
        <v>10</v>
      </c>
      <c r="AD12" s="19">
        <v>11</v>
      </c>
      <c r="AE12" s="20">
        <v>12</v>
      </c>
      <c r="AH12" s="689" t="s">
        <v>135</v>
      </c>
      <c r="AI12" s="126"/>
      <c r="AJ12" s="19">
        <v>1</v>
      </c>
      <c r="AK12" s="19">
        <v>2</v>
      </c>
      <c r="AL12" s="19">
        <v>3</v>
      </c>
      <c r="AM12" s="19">
        <v>4</v>
      </c>
      <c r="AN12" s="19">
        <v>5</v>
      </c>
      <c r="AO12" s="19">
        <v>6</v>
      </c>
      <c r="AP12" s="19">
        <v>7</v>
      </c>
      <c r="AQ12" s="19">
        <v>8</v>
      </c>
      <c r="AR12" s="19">
        <v>9</v>
      </c>
      <c r="AS12" s="19">
        <v>10</v>
      </c>
      <c r="AT12" s="19">
        <v>11</v>
      </c>
      <c r="AU12" s="20">
        <v>12</v>
      </c>
      <c r="AX12" s="689" t="s">
        <v>135</v>
      </c>
      <c r="AY12" s="18"/>
      <c r="AZ12" s="19">
        <v>1</v>
      </c>
      <c r="BA12" s="19">
        <v>2</v>
      </c>
      <c r="BB12" s="19">
        <v>3</v>
      </c>
      <c r="BC12" s="19">
        <v>4</v>
      </c>
      <c r="BD12" s="19">
        <v>5</v>
      </c>
      <c r="BE12" s="19">
        <v>6</v>
      </c>
      <c r="BF12" s="19">
        <v>7</v>
      </c>
      <c r="BG12" s="19">
        <v>8</v>
      </c>
      <c r="BH12" s="19">
        <v>9</v>
      </c>
      <c r="BI12" s="19">
        <v>10</v>
      </c>
      <c r="BJ12" s="19">
        <v>11</v>
      </c>
      <c r="BK12" s="20">
        <v>12</v>
      </c>
      <c r="BN12" s="689" t="s">
        <v>135</v>
      </c>
      <c r="BO12" s="407"/>
      <c r="BP12" s="19">
        <v>1</v>
      </c>
      <c r="BQ12" s="19">
        <v>2</v>
      </c>
      <c r="BR12" s="19">
        <v>3</v>
      </c>
      <c r="BS12" s="19">
        <v>4</v>
      </c>
      <c r="BT12" s="19">
        <v>5</v>
      </c>
      <c r="BU12" s="19">
        <v>6</v>
      </c>
      <c r="BV12" s="19">
        <v>7</v>
      </c>
      <c r="BW12" s="19">
        <v>8</v>
      </c>
      <c r="BX12" s="19">
        <v>9</v>
      </c>
      <c r="BY12" s="19">
        <v>10</v>
      </c>
      <c r="BZ12" s="19">
        <v>11</v>
      </c>
      <c r="CA12" s="20">
        <v>12</v>
      </c>
      <c r="CD12" s="689" t="s">
        <v>135</v>
      </c>
      <c r="CE12" s="407"/>
      <c r="CF12" s="19">
        <v>1</v>
      </c>
      <c r="CG12" s="19">
        <v>2</v>
      </c>
      <c r="CH12" s="19">
        <v>3</v>
      </c>
      <c r="CI12" s="19">
        <v>4</v>
      </c>
      <c r="CJ12" s="19">
        <v>5</v>
      </c>
      <c r="CK12" s="19">
        <v>6</v>
      </c>
      <c r="CL12" s="19">
        <v>7</v>
      </c>
      <c r="CM12" s="19">
        <v>8</v>
      </c>
      <c r="CN12" s="19">
        <v>9</v>
      </c>
      <c r="CO12" s="19">
        <v>10</v>
      </c>
      <c r="CP12" s="19">
        <v>11</v>
      </c>
      <c r="CQ12" s="20">
        <v>12</v>
      </c>
      <c r="CT12" s="689" t="s">
        <v>135</v>
      </c>
      <c r="CU12" s="407"/>
      <c r="CV12" s="19">
        <v>1</v>
      </c>
      <c r="CW12" s="19">
        <v>2</v>
      </c>
      <c r="CX12" s="19">
        <v>3</v>
      </c>
      <c r="CY12" s="19">
        <v>4</v>
      </c>
      <c r="CZ12" s="19">
        <v>5</v>
      </c>
      <c r="DA12" s="19">
        <v>6</v>
      </c>
      <c r="DB12" s="19">
        <v>7</v>
      </c>
      <c r="DC12" s="19">
        <v>8</v>
      </c>
      <c r="DD12" s="19">
        <v>9</v>
      </c>
      <c r="DE12" s="19">
        <v>10</v>
      </c>
      <c r="DF12" s="19">
        <v>11</v>
      </c>
      <c r="DG12" s="20">
        <v>12</v>
      </c>
    </row>
    <row r="13" spans="1:111" x14ac:dyDescent="0.25">
      <c r="B13" s="714"/>
      <c r="C13" s="10" t="s">
        <v>13</v>
      </c>
      <c r="D13" s="337">
        <f t="shared" ref="D13:O13" si="0">D3-$I$11</f>
        <v>-1.5869565217391288E-2</v>
      </c>
      <c r="E13" s="337">
        <f t="shared" si="0"/>
        <v>-1.5869565217391288E-2</v>
      </c>
      <c r="F13" s="337">
        <f t="shared" si="0"/>
        <v>-2.2869565217391294E-2</v>
      </c>
      <c r="G13" s="337">
        <f t="shared" si="0"/>
        <v>-1.6869565217391289E-2</v>
      </c>
      <c r="H13" s="337">
        <f t="shared" si="0"/>
        <v>-1.3869565217391293E-2</v>
      </c>
      <c r="I13" s="337">
        <f t="shared" si="0"/>
        <v>-1.9869565217391291E-2</v>
      </c>
      <c r="J13" s="337">
        <f t="shared" si="0"/>
        <v>0.24613043478260871</v>
      </c>
      <c r="K13" s="337">
        <f t="shared" si="0"/>
        <v>-1.6869565217391289E-2</v>
      </c>
      <c r="L13" s="337">
        <f t="shared" si="0"/>
        <v>-1.6869565217391289E-2</v>
      </c>
      <c r="M13" s="337">
        <f t="shared" si="0"/>
        <v>-1.2869565217391292E-2</v>
      </c>
      <c r="N13" s="337">
        <f t="shared" si="0"/>
        <v>-1.7869565217391289E-2</v>
      </c>
      <c r="O13" s="338">
        <f t="shared" si="0"/>
        <v>-8.6956521739128823E-4</v>
      </c>
      <c r="R13" s="714"/>
      <c r="S13" s="10" t="s">
        <v>13</v>
      </c>
      <c r="T13" s="214">
        <f>T3-$Y$11</f>
        <v>9.4711538461538458E-2</v>
      </c>
      <c r="U13" s="337">
        <f t="shared" ref="U13:AE13" si="1">U3-$Y$11</f>
        <v>-2.9288461538461527E-2</v>
      </c>
      <c r="V13" s="337">
        <f t="shared" si="1"/>
        <v>8.0711538461538473E-2</v>
      </c>
      <c r="W13" s="337">
        <f t="shared" si="1"/>
        <v>4.6711538461538471E-2</v>
      </c>
      <c r="X13" s="337">
        <f t="shared" si="1"/>
        <v>0.23071153846153847</v>
      </c>
      <c r="Y13" s="337">
        <f t="shared" si="1"/>
        <v>6.571153846153846E-2</v>
      </c>
      <c r="Z13" s="337">
        <f t="shared" si="1"/>
        <v>-3.0288461538461528E-2</v>
      </c>
      <c r="AA13" s="337">
        <f t="shared" si="1"/>
        <v>-2.6288461538461531E-2</v>
      </c>
      <c r="AB13" s="337">
        <f t="shared" si="1"/>
        <v>-3.0288461538461528E-2</v>
      </c>
      <c r="AC13" s="337">
        <f t="shared" si="1"/>
        <v>-2.428846153846153E-2</v>
      </c>
      <c r="AD13" s="337">
        <f t="shared" si="1"/>
        <v>-3.0288461538461528E-2</v>
      </c>
      <c r="AE13" s="337">
        <f t="shared" si="1"/>
        <v>-3.1288461538461529E-2</v>
      </c>
      <c r="AH13" s="690"/>
      <c r="AI13" s="125" t="s">
        <v>13</v>
      </c>
      <c r="AJ13" s="12">
        <f>AJ3-$AO$11</f>
        <v>-1.8886363636363632E-2</v>
      </c>
      <c r="AK13" s="12">
        <f t="shared" ref="AK13:AU13" si="2">AK3-$AO$11</f>
        <v>-1.9886363636363633E-2</v>
      </c>
      <c r="AL13" s="12">
        <f t="shared" si="2"/>
        <v>-1.5886363636363636E-2</v>
      </c>
      <c r="AM13" s="12">
        <f t="shared" si="2"/>
        <v>-1.5886363636363636E-2</v>
      </c>
      <c r="AN13" s="12">
        <f t="shared" si="2"/>
        <v>-1.688636363636363E-2</v>
      </c>
      <c r="AO13" s="12">
        <f t="shared" si="2"/>
        <v>-1.688636363636363E-2</v>
      </c>
      <c r="AP13" s="12">
        <f t="shared" si="2"/>
        <v>-1.688636363636363E-2</v>
      </c>
      <c r="AQ13" s="12">
        <f t="shared" si="2"/>
        <v>-1.7886363636363631E-2</v>
      </c>
      <c r="AR13" s="12">
        <f t="shared" si="2"/>
        <v>-1.7886363636363631E-2</v>
      </c>
      <c r="AS13" s="12">
        <f t="shared" si="2"/>
        <v>-1.5886363636363636E-2</v>
      </c>
      <c r="AT13" s="12">
        <f t="shared" si="2"/>
        <v>-1.7886363636363631E-2</v>
      </c>
      <c r="AU13" s="12">
        <f t="shared" si="2"/>
        <v>-1.688636363636363E-2</v>
      </c>
      <c r="AX13" s="690"/>
      <c r="AY13" s="10" t="s">
        <v>13</v>
      </c>
      <c r="AZ13" s="12">
        <f>AZ3-$BE$11</f>
        <v>-3.4285714285714197E-3</v>
      </c>
      <c r="BA13" s="12">
        <f t="shared" ref="BA13:BK13" si="3">BA3-$BE$11</f>
        <v>-3.4285714285714197E-3</v>
      </c>
      <c r="BB13" s="12">
        <f t="shared" si="3"/>
        <v>-3.4285714285714197E-3</v>
      </c>
      <c r="BC13" s="12">
        <f t="shared" si="3"/>
        <v>-3.4285714285714197E-3</v>
      </c>
      <c r="BD13" s="12">
        <f t="shared" si="3"/>
        <v>-3.4285714285714197E-3</v>
      </c>
      <c r="BE13" s="12">
        <f t="shared" si="3"/>
        <v>-2.4285714285714188E-3</v>
      </c>
      <c r="BF13" s="12">
        <f t="shared" si="3"/>
        <v>-2.4285714285714188E-3</v>
      </c>
      <c r="BG13" s="12">
        <f t="shared" si="3"/>
        <v>-2.4285714285714188E-3</v>
      </c>
      <c r="BH13" s="12">
        <f t="shared" si="3"/>
        <v>-2.4285714285714188E-3</v>
      </c>
      <c r="BI13" s="12">
        <f t="shared" si="3"/>
        <v>-1.4285714285714179E-3</v>
      </c>
      <c r="BJ13" s="12">
        <f t="shared" si="3"/>
        <v>-2.4285714285714188E-3</v>
      </c>
      <c r="BK13" s="12">
        <f t="shared" si="3"/>
        <v>7.9571428571428585E-2</v>
      </c>
      <c r="BN13" s="690"/>
      <c r="BO13" s="408" t="s">
        <v>13</v>
      </c>
      <c r="BP13" s="12">
        <f>BP3-$BU$11</f>
        <v>-4.5869565217391273E-3</v>
      </c>
      <c r="BQ13" s="12">
        <f t="shared" ref="BQ13:CA13" si="4">BQ3-$BU$11</f>
        <v>-3.5869565217391264E-3</v>
      </c>
      <c r="BR13" s="12">
        <f t="shared" si="4"/>
        <v>-3.5869565217391264E-3</v>
      </c>
      <c r="BS13" s="12">
        <f t="shared" si="4"/>
        <v>-3.5869565217391264E-3</v>
      </c>
      <c r="BT13" s="12">
        <f t="shared" si="4"/>
        <v>-3.5869565217391264E-3</v>
      </c>
      <c r="BU13" s="12">
        <f t="shared" si="4"/>
        <v>-2.5869565217391255E-3</v>
      </c>
      <c r="BV13" s="12">
        <f t="shared" si="4"/>
        <v>-2.5869565217391255E-3</v>
      </c>
      <c r="BW13" s="12">
        <f t="shared" si="4"/>
        <v>-2.5869565217391255E-3</v>
      </c>
      <c r="BX13" s="12">
        <f t="shared" si="4"/>
        <v>-3.5869565217391264E-3</v>
      </c>
      <c r="BY13" s="12">
        <f t="shared" si="4"/>
        <v>-3.5869565217391264E-3</v>
      </c>
      <c r="BZ13" s="12">
        <f t="shared" si="4"/>
        <v>-3.5869565217391264E-3</v>
      </c>
      <c r="CA13" s="12">
        <f t="shared" si="4"/>
        <v>-3.5869565217391264E-3</v>
      </c>
      <c r="CD13" s="690"/>
      <c r="CE13" s="408" t="s">
        <v>13</v>
      </c>
      <c r="CF13" s="12">
        <f>CF3-$CK$11</f>
        <v>-7.4318181818181506E-3</v>
      </c>
      <c r="CG13" s="12">
        <f t="shared" ref="CG13:CQ13" si="5">CG3-$CK$11</f>
        <v>-6.4318181818181497E-3</v>
      </c>
      <c r="CH13" s="12">
        <f t="shared" si="5"/>
        <v>-7.4318181818181506E-3</v>
      </c>
      <c r="CI13" s="12">
        <f t="shared" si="5"/>
        <v>-6.4318181818181497E-3</v>
      </c>
      <c r="CJ13" s="12">
        <f t="shared" si="5"/>
        <v>-7.4318181818181506E-3</v>
      </c>
      <c r="CK13" s="12">
        <f t="shared" si="5"/>
        <v>-6.4318181818181497E-3</v>
      </c>
      <c r="CL13" s="12">
        <f t="shared" si="5"/>
        <v>-7.4318181818181506E-3</v>
      </c>
      <c r="CM13" s="12">
        <f t="shared" si="5"/>
        <v>-6.4318181818181497E-3</v>
      </c>
      <c r="CN13" s="12">
        <f t="shared" si="5"/>
        <v>-7.4318181818181506E-3</v>
      </c>
      <c r="CO13" s="12">
        <f t="shared" si="5"/>
        <v>-7.4318181818181506E-3</v>
      </c>
      <c r="CP13" s="12">
        <f t="shared" si="5"/>
        <v>-7.4318181818181506E-3</v>
      </c>
      <c r="CQ13" s="21">
        <f t="shared" si="5"/>
        <v>-6.4318181818181497E-3</v>
      </c>
      <c r="CT13" s="690"/>
      <c r="CU13" s="408" t="s">
        <v>13</v>
      </c>
      <c r="CV13" s="12">
        <f>CV3-$DA$11</f>
        <v>2.8568181818181798E-2</v>
      </c>
      <c r="CW13" s="12">
        <f t="shared" ref="CW13:DG13" si="6">CW3-$DA$11</f>
        <v>-7.4318181818181922E-3</v>
      </c>
      <c r="CX13" s="12">
        <f t="shared" si="6"/>
        <v>-6.4318181818181913E-3</v>
      </c>
      <c r="CY13" s="12">
        <f t="shared" si="6"/>
        <v>-1.1431818181818196E-2</v>
      </c>
      <c r="CZ13" s="12">
        <f t="shared" si="6"/>
        <v>-1.7431818181818201E-2</v>
      </c>
      <c r="DA13" s="12">
        <f t="shared" si="6"/>
        <v>-8.4318181818181931E-3</v>
      </c>
      <c r="DB13" s="12">
        <f t="shared" si="6"/>
        <v>-6.4318181818181913E-3</v>
      </c>
      <c r="DC13" s="12">
        <f t="shared" si="6"/>
        <v>-5.4318181818182043E-3</v>
      </c>
      <c r="DD13" s="12">
        <f t="shared" si="6"/>
        <v>-1.7431818181818201E-2</v>
      </c>
      <c r="DE13" s="12">
        <f t="shared" si="6"/>
        <v>-4.4318181818182034E-3</v>
      </c>
      <c r="DF13" s="12">
        <f t="shared" si="6"/>
        <v>-6.4318181818181913E-3</v>
      </c>
      <c r="DG13" s="12">
        <f t="shared" si="6"/>
        <v>-1.4431818181818198E-2</v>
      </c>
    </row>
    <row r="14" spans="1:111" x14ac:dyDescent="0.25">
      <c r="B14" s="714"/>
      <c r="C14" s="10" t="s">
        <v>14</v>
      </c>
      <c r="D14" s="337">
        <f t="shared" ref="D14:O14" si="7">D4-$I$11</f>
        <v>-9.8695652173912893E-3</v>
      </c>
      <c r="E14" s="337">
        <f t="shared" si="7"/>
        <v>-8.6956521739128823E-4</v>
      </c>
      <c r="F14" s="337">
        <f t="shared" si="7"/>
        <v>5.8130434782608709E-2</v>
      </c>
      <c r="G14" s="337">
        <f t="shared" si="7"/>
        <v>0.13613043478260872</v>
      </c>
      <c r="H14" s="337">
        <f t="shared" si="7"/>
        <v>0.33013043478260873</v>
      </c>
      <c r="I14" s="337">
        <f t="shared" si="7"/>
        <v>0.39313043478260873</v>
      </c>
      <c r="J14" s="337">
        <f t="shared" si="7"/>
        <v>0.86713043478260876</v>
      </c>
      <c r="K14" s="337">
        <f t="shared" si="7"/>
        <v>1.6301304347826087</v>
      </c>
      <c r="L14" s="337">
        <f t="shared" si="7"/>
        <v>2.9671304347826086</v>
      </c>
      <c r="M14" s="337">
        <f t="shared" si="7"/>
        <v>3.6581304347826089</v>
      </c>
      <c r="N14" s="337" t="e">
        <f t="shared" si="7"/>
        <v>#VALUE!</v>
      </c>
      <c r="O14" s="338">
        <f t="shared" si="7"/>
        <v>-1.6869565217391289E-2</v>
      </c>
      <c r="R14" s="714"/>
      <c r="S14" s="10" t="s">
        <v>14</v>
      </c>
      <c r="T14" s="214">
        <f t="shared" ref="T14:AE14" si="8">T4-$Y$11</f>
        <v>0.16671153846153847</v>
      </c>
      <c r="U14" s="337">
        <f t="shared" si="8"/>
        <v>-1.5288461538461529E-2</v>
      </c>
      <c r="V14" s="337">
        <f t="shared" si="8"/>
        <v>8.9711538461538481E-2</v>
      </c>
      <c r="W14" s="337">
        <f t="shared" si="8"/>
        <v>0.17771153846153848</v>
      </c>
      <c r="X14" s="337">
        <f t="shared" si="8"/>
        <v>0.43171153846153848</v>
      </c>
      <c r="Y14" s="337">
        <f t="shared" si="8"/>
        <v>0.54271153846153841</v>
      </c>
      <c r="Z14" s="337">
        <f t="shared" si="8"/>
        <v>0.69071153846153854</v>
      </c>
      <c r="AA14" s="337">
        <f t="shared" si="8"/>
        <v>1.4177115384615386</v>
      </c>
      <c r="AB14" s="337">
        <f t="shared" si="8"/>
        <v>2.3747115384615385</v>
      </c>
      <c r="AC14" s="337">
        <f t="shared" si="8"/>
        <v>3.3307115384615384</v>
      </c>
      <c r="AD14" s="337" t="e">
        <f t="shared" si="8"/>
        <v>#VALUE!</v>
      </c>
      <c r="AE14" s="337">
        <f t="shared" si="8"/>
        <v>-3.0288461538461528E-2</v>
      </c>
      <c r="AH14" s="690"/>
      <c r="AI14" s="125" t="s">
        <v>14</v>
      </c>
      <c r="AJ14" s="12">
        <f t="shared" ref="AJ14:AU20" si="9">AJ4-$AO$11</f>
        <v>-1.7886363636363631E-2</v>
      </c>
      <c r="AK14" s="12">
        <f t="shared" si="9"/>
        <v>7.4113636363636354E-2</v>
      </c>
      <c r="AL14" s="12">
        <f t="shared" si="9"/>
        <v>0.14711363636363636</v>
      </c>
      <c r="AM14" s="12">
        <f t="shared" si="9"/>
        <v>0.28511363636363635</v>
      </c>
      <c r="AN14" s="12">
        <f t="shared" si="9"/>
        <v>0.55611363636363631</v>
      </c>
      <c r="AO14" s="12">
        <f t="shared" si="9"/>
        <v>0.7811136363636364</v>
      </c>
      <c r="AP14" s="12">
        <f t="shared" si="9"/>
        <v>0.97711363636363635</v>
      </c>
      <c r="AQ14" s="12">
        <f t="shared" si="9"/>
        <v>1.7441136363636363</v>
      </c>
      <c r="AR14" s="12">
        <f t="shared" si="9"/>
        <v>3.1271136363636365</v>
      </c>
      <c r="AS14" s="12"/>
      <c r="AT14" s="12"/>
      <c r="AU14" s="12">
        <f t="shared" si="9"/>
        <v>-1.7886363636363631E-2</v>
      </c>
      <c r="AX14" s="690"/>
      <c r="AY14" s="10" t="s">
        <v>14</v>
      </c>
      <c r="AZ14" s="12">
        <f t="shared" ref="AZ14:BK20" si="10">AZ4-$BE$11</f>
        <v>-3.4285714285714197E-3</v>
      </c>
      <c r="BA14" s="12">
        <f t="shared" si="10"/>
        <v>1.2571428571428581E-2</v>
      </c>
      <c r="BB14" s="12">
        <f t="shared" si="10"/>
        <v>0.13957142857142857</v>
      </c>
      <c r="BC14" s="12">
        <f t="shared" si="10"/>
        <v>0.27257142857142858</v>
      </c>
      <c r="BD14" s="12">
        <f t="shared" si="10"/>
        <v>0.49857142857142861</v>
      </c>
      <c r="BE14" s="12">
        <f t="shared" si="10"/>
        <v>0.73557142857142865</v>
      </c>
      <c r="BF14" s="12">
        <f t="shared" si="10"/>
        <v>0.9225714285714286</v>
      </c>
      <c r="BG14" s="12">
        <f t="shared" si="10"/>
        <v>1.5905714285714285</v>
      </c>
      <c r="BH14" s="12">
        <f t="shared" si="10"/>
        <v>3.0205714285714285</v>
      </c>
      <c r="BI14" s="12"/>
      <c r="BJ14" s="12"/>
      <c r="BK14" s="12">
        <f t="shared" si="10"/>
        <v>-3.4285714285714197E-3</v>
      </c>
      <c r="BN14" s="690"/>
      <c r="BO14" s="408" t="s">
        <v>14</v>
      </c>
      <c r="BP14" s="12">
        <f t="shared" ref="BP14:CA20" si="11">BP4-$BU$11</f>
        <v>-3.5869565217391264E-3</v>
      </c>
      <c r="BQ14" s="12">
        <f t="shared" si="11"/>
        <v>9.4130434782608713E-3</v>
      </c>
      <c r="BR14" s="12">
        <f t="shared" si="11"/>
        <v>0.13641304347826089</v>
      </c>
      <c r="BS14" s="12">
        <f t="shared" si="11"/>
        <v>0.24541304347826087</v>
      </c>
      <c r="BT14" s="12">
        <f t="shared" si="11"/>
        <v>0.4664130434782609</v>
      </c>
      <c r="BU14" s="12">
        <f t="shared" si="11"/>
        <v>0.68041304347826082</v>
      </c>
      <c r="BV14" s="12">
        <f t="shared" si="11"/>
        <v>0.86841304347826087</v>
      </c>
      <c r="BW14" s="12">
        <f t="shared" si="11"/>
        <v>1.625413043478261</v>
      </c>
      <c r="BX14" s="12">
        <f t="shared" si="11"/>
        <v>3.0824130434782608</v>
      </c>
      <c r="BY14" s="12" t="e">
        <f t="shared" si="11"/>
        <v>#VALUE!</v>
      </c>
      <c r="BZ14" s="12" t="e">
        <f t="shared" si="11"/>
        <v>#VALUE!</v>
      </c>
      <c r="CA14" s="12">
        <f t="shared" si="11"/>
        <v>1.4130434782608711E-3</v>
      </c>
      <c r="CD14" s="690"/>
      <c r="CE14" s="408" t="s">
        <v>14</v>
      </c>
      <c r="CF14" s="12">
        <f t="shared" ref="CF14:CQ20" si="12">CF4-$CK$11</f>
        <v>-7.4318181818181506E-3</v>
      </c>
      <c r="CG14" s="12">
        <f t="shared" si="12"/>
        <v>4.5681818181818462E-3</v>
      </c>
      <c r="CH14" s="12">
        <f t="shared" si="12"/>
        <v>0.17056818181818184</v>
      </c>
      <c r="CI14" s="12">
        <f t="shared" si="12"/>
        <v>0.32256818181818186</v>
      </c>
      <c r="CJ14" s="12">
        <f t="shared" si="12"/>
        <v>0.56856818181818181</v>
      </c>
      <c r="CK14" s="12">
        <f t="shared" si="12"/>
        <v>0.8075681818181818</v>
      </c>
      <c r="CL14" s="12">
        <f t="shared" si="12"/>
        <v>1.0275681818181819</v>
      </c>
      <c r="CM14" s="12">
        <f t="shared" si="12"/>
        <v>1.804568181818182</v>
      </c>
      <c r="CN14" s="12">
        <f t="shared" si="12"/>
        <v>3.2645681818181815</v>
      </c>
      <c r="CO14" s="12" t="e">
        <f t="shared" si="12"/>
        <v>#VALUE!</v>
      </c>
      <c r="CP14" s="12" t="e">
        <f t="shared" si="12"/>
        <v>#VALUE!</v>
      </c>
      <c r="CQ14" s="21">
        <f t="shared" si="12"/>
        <v>-6.4318181818181497E-3</v>
      </c>
      <c r="CT14" s="690"/>
      <c r="CU14" s="408" t="s">
        <v>14</v>
      </c>
      <c r="CV14" s="12">
        <f t="shared" ref="CV14:DG20" si="13">CV4-$DA$11</f>
        <v>-1.7431818181818201E-2</v>
      </c>
      <c r="CW14" s="12">
        <f t="shared" si="13"/>
        <v>0.82356818181818181</v>
      </c>
      <c r="CX14" s="12">
        <f t="shared" si="13"/>
        <v>0.9365681818181818</v>
      </c>
      <c r="CY14" s="12">
        <f t="shared" si="13"/>
        <v>1.1995681818181818</v>
      </c>
      <c r="CZ14" s="12">
        <f t="shared" si="13"/>
        <v>1.5255681818181819</v>
      </c>
      <c r="DA14" s="12">
        <f t="shared" si="13"/>
        <v>1.8365681818181818</v>
      </c>
      <c r="DB14" s="12">
        <f t="shared" si="13"/>
        <v>2.0305681818181816</v>
      </c>
      <c r="DC14" s="12">
        <f t="shared" si="13"/>
        <v>3.0485681818181818</v>
      </c>
      <c r="DD14" s="12" t="e">
        <f t="shared" si="13"/>
        <v>#VALUE!</v>
      </c>
      <c r="DE14" s="12" t="e">
        <f t="shared" si="13"/>
        <v>#VALUE!</v>
      </c>
      <c r="DF14" s="12" t="e">
        <f t="shared" si="13"/>
        <v>#VALUE!</v>
      </c>
      <c r="DG14" s="12">
        <f t="shared" si="13"/>
        <v>-1.64318181818182E-2</v>
      </c>
    </row>
    <row r="15" spans="1:111" x14ac:dyDescent="0.25">
      <c r="B15" s="714"/>
      <c r="C15" s="10" t="s">
        <v>15</v>
      </c>
      <c r="D15" s="337">
        <f t="shared" ref="D15:O15" si="14">D5-$I$11</f>
        <v>2.7130434782608709E-2</v>
      </c>
      <c r="E15" s="337">
        <f t="shared" si="14"/>
        <v>1.0130434782608708E-2</v>
      </c>
      <c r="F15" s="337">
        <f t="shared" si="14"/>
        <v>8.3130434782608703E-2</v>
      </c>
      <c r="G15" s="337">
        <f t="shared" si="14"/>
        <v>0.13713043478260872</v>
      </c>
      <c r="H15" s="337">
        <f t="shared" si="14"/>
        <v>0.46013043478260873</v>
      </c>
      <c r="I15" s="337">
        <f t="shared" si="14"/>
        <v>0.57913043478260873</v>
      </c>
      <c r="J15" s="337">
        <f t="shared" si="14"/>
        <v>0.84813043478260874</v>
      </c>
      <c r="K15" s="337">
        <f t="shared" si="14"/>
        <v>1.8121304347826086</v>
      </c>
      <c r="L15" s="337">
        <f t="shared" si="14"/>
        <v>2.9341304347826087</v>
      </c>
      <c r="M15" s="337">
        <f t="shared" si="14"/>
        <v>3.6371304347826086</v>
      </c>
      <c r="N15" s="337" t="e">
        <f t="shared" si="14"/>
        <v>#VALUE!</v>
      </c>
      <c r="O15" s="338">
        <f t="shared" si="14"/>
        <v>-1.7869565217391289E-2</v>
      </c>
      <c r="R15" s="714"/>
      <c r="S15" s="10" t="s">
        <v>15</v>
      </c>
      <c r="T15" s="214">
        <f t="shared" ref="T15:AE15" si="15">T5-$Y$11</f>
        <v>6.6711538461538461E-2</v>
      </c>
      <c r="U15" s="337">
        <f t="shared" si="15"/>
        <v>1.9711538461538475E-2</v>
      </c>
      <c r="V15" s="337">
        <f t="shared" si="15"/>
        <v>8.6711538461538479E-2</v>
      </c>
      <c r="W15" s="337">
        <f t="shared" si="15"/>
        <v>0.15971153846153846</v>
      </c>
      <c r="X15" s="337">
        <f t="shared" si="15"/>
        <v>0.42871153846153848</v>
      </c>
      <c r="Y15" s="337">
        <f t="shared" si="15"/>
        <v>0.68471153846153854</v>
      </c>
      <c r="Z15" s="337">
        <f t="shared" si="15"/>
        <v>0.85971153846153836</v>
      </c>
      <c r="AA15" s="337">
        <f t="shared" si="15"/>
        <v>1.4937115384615385</v>
      </c>
      <c r="AB15" s="337">
        <f t="shared" si="15"/>
        <v>2.5047115384615384</v>
      </c>
      <c r="AC15" s="337">
        <f t="shared" si="15"/>
        <v>3.4837115384615385</v>
      </c>
      <c r="AD15" s="337">
        <f t="shared" si="15"/>
        <v>3.8357115384615383</v>
      </c>
      <c r="AE15" s="337">
        <f t="shared" si="15"/>
        <v>-2.6288461538461531E-2</v>
      </c>
      <c r="AH15" s="690"/>
      <c r="AI15" s="125" t="s">
        <v>15</v>
      </c>
      <c r="AJ15" s="12">
        <f t="shared" si="9"/>
        <v>-1.688636363636363E-2</v>
      </c>
      <c r="AK15" s="12">
        <f t="shared" si="9"/>
        <v>-2.8863636363636314E-3</v>
      </c>
      <c r="AL15" s="12">
        <f t="shared" si="9"/>
        <v>0.15111363636363637</v>
      </c>
      <c r="AM15" s="12">
        <f t="shared" si="9"/>
        <v>0.29111363636363635</v>
      </c>
      <c r="AN15" s="12">
        <f t="shared" si="9"/>
        <v>0.52011363636363628</v>
      </c>
      <c r="AO15" s="12">
        <f t="shared" si="9"/>
        <v>0.76611363636363627</v>
      </c>
      <c r="AP15" s="12">
        <f t="shared" si="9"/>
        <v>0.86211363636363636</v>
      </c>
      <c r="AQ15" s="12">
        <f t="shared" si="9"/>
        <v>1.6751136363636363</v>
      </c>
      <c r="AR15" s="12">
        <f t="shared" si="9"/>
        <v>2.8741136363636364</v>
      </c>
      <c r="AS15" s="12"/>
      <c r="AT15" s="12"/>
      <c r="AU15" s="12">
        <f t="shared" si="9"/>
        <v>-1.7886363636363631E-2</v>
      </c>
      <c r="AX15" s="690"/>
      <c r="AY15" s="10" t="s">
        <v>15</v>
      </c>
      <c r="AZ15" s="12">
        <f t="shared" si="10"/>
        <v>-3.4285714285714197E-3</v>
      </c>
      <c r="BA15" s="12">
        <f t="shared" si="10"/>
        <v>1.2571428571428581E-2</v>
      </c>
      <c r="BB15" s="12">
        <f t="shared" si="10"/>
        <v>0.13657142857142857</v>
      </c>
      <c r="BC15" s="12">
        <f t="shared" si="10"/>
        <v>0.25357142857142856</v>
      </c>
      <c r="BD15" s="12">
        <f t="shared" si="10"/>
        <v>0.4925714285714286</v>
      </c>
      <c r="BE15" s="12">
        <f t="shared" si="10"/>
        <v>0.72157142857142864</v>
      </c>
      <c r="BF15" s="12">
        <f t="shared" si="10"/>
        <v>0.82157142857142862</v>
      </c>
      <c r="BG15" s="12">
        <f t="shared" si="10"/>
        <v>1.5985714285714285</v>
      </c>
      <c r="BH15" s="12">
        <f t="shared" si="10"/>
        <v>2.8325714285714283</v>
      </c>
      <c r="BI15" s="12">
        <f t="shared" si="10"/>
        <v>3.8485714285714283</v>
      </c>
      <c r="BJ15" s="12"/>
      <c r="BK15" s="12">
        <f t="shared" si="10"/>
        <v>-3.4285714285714197E-3</v>
      </c>
      <c r="BN15" s="690"/>
      <c r="BO15" s="408" t="s">
        <v>15</v>
      </c>
      <c r="BP15" s="12">
        <f t="shared" si="11"/>
        <v>-2.5869565217391255E-3</v>
      </c>
      <c r="BQ15" s="12">
        <f t="shared" si="11"/>
        <v>1.4413043478260876E-2</v>
      </c>
      <c r="BR15" s="12">
        <f t="shared" si="11"/>
        <v>0.12241304347826086</v>
      </c>
      <c r="BS15" s="12">
        <f t="shared" si="11"/>
        <v>0.23341304347826086</v>
      </c>
      <c r="BT15" s="12">
        <f t="shared" si="11"/>
        <v>0.42941304347826087</v>
      </c>
      <c r="BU15" s="12">
        <f t="shared" si="11"/>
        <v>0.64741304347826079</v>
      </c>
      <c r="BV15" s="12">
        <f t="shared" si="11"/>
        <v>0.79641304347826081</v>
      </c>
      <c r="BW15" s="12">
        <f t="shared" si="11"/>
        <v>1.5234130434782609</v>
      </c>
      <c r="BX15" s="12">
        <f t="shared" si="11"/>
        <v>2.919413043478261</v>
      </c>
      <c r="BY15" s="12" t="e">
        <f t="shared" si="11"/>
        <v>#VALUE!</v>
      </c>
      <c r="BZ15" s="12" t="e">
        <f t="shared" si="11"/>
        <v>#VALUE!</v>
      </c>
      <c r="CA15" s="12">
        <f t="shared" si="11"/>
        <v>-3.5869565217391264E-3</v>
      </c>
      <c r="CD15" s="690"/>
      <c r="CE15" s="408" t="s">
        <v>15</v>
      </c>
      <c r="CF15" s="12">
        <f t="shared" si="12"/>
        <v>-6.4318181818181497E-3</v>
      </c>
      <c r="CG15" s="12">
        <f t="shared" si="12"/>
        <v>8.5681818181818498E-3</v>
      </c>
      <c r="CH15" s="12">
        <f t="shared" si="12"/>
        <v>0.16556818181818184</v>
      </c>
      <c r="CI15" s="12">
        <f t="shared" si="12"/>
        <v>0.28456818181818189</v>
      </c>
      <c r="CJ15" s="12">
        <f t="shared" si="12"/>
        <v>0.51856818181818176</v>
      </c>
      <c r="CK15" s="12">
        <f t="shared" si="12"/>
        <v>0.74156818181818185</v>
      </c>
      <c r="CL15" s="12">
        <f t="shared" si="12"/>
        <v>0.90756818181818177</v>
      </c>
      <c r="CM15" s="12">
        <f t="shared" si="12"/>
        <v>1.6405681818181819</v>
      </c>
      <c r="CN15" s="12">
        <f t="shared" si="12"/>
        <v>3.0165681818181818</v>
      </c>
      <c r="CO15" s="12" t="e">
        <f t="shared" si="12"/>
        <v>#VALUE!</v>
      </c>
      <c r="CP15" s="12" t="e">
        <f t="shared" si="12"/>
        <v>#VALUE!</v>
      </c>
      <c r="CQ15" s="21">
        <f t="shared" si="12"/>
        <v>-7.4318181818181506E-3</v>
      </c>
      <c r="CT15" s="690"/>
      <c r="CU15" s="408" t="s">
        <v>15</v>
      </c>
      <c r="CV15" s="12">
        <f t="shared" si="13"/>
        <v>-1.64318181818182E-2</v>
      </c>
      <c r="CW15" s="12">
        <f t="shared" si="13"/>
        <v>0.78856818181818178</v>
      </c>
      <c r="CX15" s="12">
        <f t="shared" si="13"/>
        <v>1.0155681818181819</v>
      </c>
      <c r="CY15" s="12">
        <f t="shared" si="13"/>
        <v>0.89656818181818176</v>
      </c>
      <c r="CZ15" s="12">
        <f t="shared" si="13"/>
        <v>1.274568181818182</v>
      </c>
      <c r="DA15" s="12">
        <f t="shared" si="13"/>
        <v>1.5715681818181819</v>
      </c>
      <c r="DB15" s="12">
        <f t="shared" si="13"/>
        <v>1.8045681818181818</v>
      </c>
      <c r="DC15" s="12">
        <f t="shared" si="13"/>
        <v>2.6335681818181818</v>
      </c>
      <c r="DD15" s="12" t="e">
        <f t="shared" si="13"/>
        <v>#VALUE!</v>
      </c>
      <c r="DE15" s="12" t="e">
        <f t="shared" si="13"/>
        <v>#VALUE!</v>
      </c>
      <c r="DF15" s="12" t="e">
        <f t="shared" si="13"/>
        <v>#VALUE!</v>
      </c>
      <c r="DG15" s="12">
        <f t="shared" si="13"/>
        <v>-3.4318181818182025E-3</v>
      </c>
    </row>
    <row r="16" spans="1:111" x14ac:dyDescent="0.25">
      <c r="B16" s="714"/>
      <c r="C16" s="10" t="s">
        <v>16</v>
      </c>
      <c r="D16" s="337">
        <f t="shared" ref="D16:O16" si="16">D6-$I$11</f>
        <v>9.9130434782608717E-2</v>
      </c>
      <c r="E16" s="337">
        <f t="shared" si="16"/>
        <v>1.6151304347826088</v>
      </c>
      <c r="F16" s="337">
        <f t="shared" si="16"/>
        <v>1.4941304347826088</v>
      </c>
      <c r="G16" s="337">
        <f t="shared" si="16"/>
        <v>1.7381304347826088</v>
      </c>
      <c r="H16" s="337">
        <f t="shared" si="16"/>
        <v>1.2421304347826088</v>
      </c>
      <c r="I16" s="337">
        <f t="shared" si="16"/>
        <v>1.9481304347826085</v>
      </c>
      <c r="J16" s="337">
        <f t="shared" si="16"/>
        <v>1.4801304347826088</v>
      </c>
      <c r="K16" s="337">
        <f t="shared" si="16"/>
        <v>1.4631304347826086</v>
      </c>
      <c r="L16" s="337">
        <f t="shared" si="16"/>
        <v>1.6461304347826087</v>
      </c>
      <c r="M16" s="337">
        <f t="shared" si="16"/>
        <v>1.4171304347826088</v>
      </c>
      <c r="N16" s="337">
        <f t="shared" si="16"/>
        <v>-1.1869565217391291E-2</v>
      </c>
      <c r="O16" s="338">
        <f t="shared" si="16"/>
        <v>-2.8869565217391292E-2</v>
      </c>
      <c r="R16" s="714"/>
      <c r="S16" s="10" t="s">
        <v>16</v>
      </c>
      <c r="T16" s="214">
        <f t="shared" ref="T16:AE16" si="17">T6-$Y$11</f>
        <v>-6.2884615384615344E-3</v>
      </c>
      <c r="U16" s="337">
        <f t="shared" si="17"/>
        <v>2.1317115384615382</v>
      </c>
      <c r="V16" s="337">
        <f t="shared" si="17"/>
        <v>1.8927115384615385</v>
      </c>
      <c r="W16" s="337">
        <f t="shared" si="17"/>
        <v>2.0387115384615382</v>
      </c>
      <c r="X16" s="337">
        <f t="shared" si="17"/>
        <v>2.2287115384615381</v>
      </c>
      <c r="Y16" s="337">
        <f t="shared" si="17"/>
        <v>2.3717115384615384</v>
      </c>
      <c r="Z16" s="337">
        <f t="shared" si="17"/>
        <v>2.9367115384615383</v>
      </c>
      <c r="AA16" s="337">
        <f t="shared" si="17"/>
        <v>4.1711538461538467E-2</v>
      </c>
      <c r="AB16" s="337">
        <f t="shared" si="17"/>
        <v>0.18771153846153849</v>
      </c>
      <c r="AC16" s="337">
        <f t="shared" si="17"/>
        <v>-1.9288461538461532E-2</v>
      </c>
      <c r="AD16" s="337">
        <f t="shared" si="17"/>
        <v>-3.0288461538461528E-2</v>
      </c>
      <c r="AE16" s="337">
        <f t="shared" si="17"/>
        <v>-3.1288461538461529E-2</v>
      </c>
      <c r="AH16" s="690"/>
      <c r="AI16" s="125" t="s">
        <v>16</v>
      </c>
      <c r="AJ16" s="12">
        <f t="shared" si="9"/>
        <v>-1.688636363636363E-2</v>
      </c>
      <c r="AK16" s="12">
        <f t="shared" si="9"/>
        <v>2.6251136363636367</v>
      </c>
      <c r="AL16" s="12">
        <f t="shared" si="9"/>
        <v>1.9171136363636363</v>
      </c>
      <c r="AM16" s="12">
        <f t="shared" si="9"/>
        <v>2.3231136363636367</v>
      </c>
      <c r="AN16" s="12">
        <f t="shared" si="9"/>
        <v>2.0511136363636364</v>
      </c>
      <c r="AO16" s="12">
        <f t="shared" si="9"/>
        <v>2.0681136363636363</v>
      </c>
      <c r="AP16" s="12">
        <f t="shared" si="9"/>
        <v>2.0191136363636364</v>
      </c>
      <c r="AQ16" s="12">
        <f t="shared" si="9"/>
        <v>1.9071136363636363</v>
      </c>
      <c r="AR16" s="12">
        <f t="shared" si="9"/>
        <v>1.9171136363636363</v>
      </c>
      <c r="AS16" s="12">
        <f t="shared" si="9"/>
        <v>2.0281136363636367</v>
      </c>
      <c r="AT16" s="12">
        <f t="shared" si="9"/>
        <v>2.0331136363636366</v>
      </c>
      <c r="AU16" s="12">
        <f t="shared" si="9"/>
        <v>-1.4886363636363635E-2</v>
      </c>
      <c r="AX16" s="690"/>
      <c r="AY16" s="10" t="s">
        <v>16</v>
      </c>
      <c r="AZ16" s="12">
        <f t="shared" si="10"/>
        <v>-3.4285714285714197E-3</v>
      </c>
      <c r="BA16" s="12">
        <f t="shared" si="10"/>
        <v>1.7135714285714285</v>
      </c>
      <c r="BB16" s="12">
        <f t="shared" si="10"/>
        <v>1.7275714285714285</v>
      </c>
      <c r="BC16" s="12">
        <f t="shared" si="10"/>
        <v>1.6685714285714286</v>
      </c>
      <c r="BD16" s="12">
        <f t="shared" si="10"/>
        <v>1.4895714285714285</v>
      </c>
      <c r="BE16" s="12">
        <f t="shared" si="10"/>
        <v>1.6135714285714287</v>
      </c>
      <c r="BF16" s="12">
        <f t="shared" si="10"/>
        <v>1.5745714285714285</v>
      </c>
      <c r="BG16" s="12">
        <f t="shared" si="10"/>
        <v>1.7625714285714287</v>
      </c>
      <c r="BH16" s="12">
        <f t="shared" si="10"/>
        <v>1.7375714285714285</v>
      </c>
      <c r="BI16" s="12">
        <f t="shared" si="10"/>
        <v>-2.4285714285714188E-3</v>
      </c>
      <c r="BJ16" s="12">
        <f t="shared" si="10"/>
        <v>-2.4285714285714188E-3</v>
      </c>
      <c r="BK16" s="12">
        <f t="shared" si="10"/>
        <v>-2.4285714285714188E-3</v>
      </c>
      <c r="BN16" s="690"/>
      <c r="BO16" s="408" t="s">
        <v>16</v>
      </c>
      <c r="BP16" s="12">
        <f t="shared" si="11"/>
        <v>3.0413043478260876E-2</v>
      </c>
      <c r="BQ16" s="12">
        <f t="shared" si="11"/>
        <v>1.5754130434782609</v>
      </c>
      <c r="BR16" s="12">
        <f t="shared" si="11"/>
        <v>1.869413043478261</v>
      </c>
      <c r="BS16" s="12">
        <f t="shared" si="11"/>
        <v>1.7534130434782609</v>
      </c>
      <c r="BT16" s="12">
        <f t="shared" si="11"/>
        <v>1.8274130434782609</v>
      </c>
      <c r="BU16" s="12">
        <f t="shared" si="11"/>
        <v>1.905413043478261</v>
      </c>
      <c r="BV16" s="12">
        <f t="shared" si="11"/>
        <v>1.8804130434782609</v>
      </c>
      <c r="BW16" s="12">
        <f t="shared" si="11"/>
        <v>2.109413043478261</v>
      </c>
      <c r="BX16" s="12">
        <f t="shared" si="11"/>
        <v>2.2034130434782608</v>
      </c>
      <c r="BY16" s="12">
        <f t="shared" si="11"/>
        <v>2.2734130434782611</v>
      </c>
      <c r="BZ16" s="12">
        <f t="shared" si="11"/>
        <v>1.9984130434782608</v>
      </c>
      <c r="CA16" s="12">
        <f t="shared" si="11"/>
        <v>-3.5869565217391264E-3</v>
      </c>
      <c r="CD16" s="690"/>
      <c r="CE16" s="408" t="s">
        <v>16</v>
      </c>
      <c r="CF16" s="12">
        <f t="shared" si="12"/>
        <v>-4.3181818181815129E-4</v>
      </c>
      <c r="CG16" s="12">
        <f t="shared" si="12"/>
        <v>1.8175681818181819</v>
      </c>
      <c r="CH16" s="12">
        <f t="shared" si="12"/>
        <v>2.4215681818181816</v>
      </c>
      <c r="CI16" s="12">
        <f t="shared" si="12"/>
        <v>2.2165681818181815</v>
      </c>
      <c r="CJ16" s="12">
        <f t="shared" si="12"/>
        <v>1.0615681818181819</v>
      </c>
      <c r="CK16" s="12">
        <f t="shared" si="12"/>
        <v>1.661568181818182</v>
      </c>
      <c r="CL16" s="12">
        <f t="shared" si="12"/>
        <v>1.744568181818182</v>
      </c>
      <c r="CM16" s="12">
        <f t="shared" si="12"/>
        <v>1.2915681818181819</v>
      </c>
      <c r="CN16" s="12">
        <f t="shared" si="12"/>
        <v>-7.4318181818181506E-3</v>
      </c>
      <c r="CO16" s="12">
        <f t="shared" si="12"/>
        <v>-7.4318181818181506E-3</v>
      </c>
      <c r="CP16" s="12">
        <f t="shared" si="12"/>
        <v>2.2568181818181848E-2</v>
      </c>
      <c r="CQ16" s="21">
        <f t="shared" si="12"/>
        <v>-5.4318181818181488E-3</v>
      </c>
      <c r="CT16" s="690"/>
      <c r="CU16" s="408" t="s">
        <v>16</v>
      </c>
      <c r="CV16" s="12">
        <f t="shared" si="13"/>
        <v>-1.5431818181818199E-2</v>
      </c>
      <c r="CW16" s="12">
        <f t="shared" si="13"/>
        <v>2.7625681818181818</v>
      </c>
      <c r="CX16" s="12">
        <f t="shared" si="13"/>
        <v>2.6665681818181817</v>
      </c>
      <c r="CY16" s="12">
        <f t="shared" si="13"/>
        <v>2.5695681818181817</v>
      </c>
      <c r="CZ16" s="12">
        <f t="shared" si="13"/>
        <v>2.3955681818181818</v>
      </c>
      <c r="DA16" s="12">
        <f t="shared" si="13"/>
        <v>2.6715681818181816</v>
      </c>
      <c r="DB16" s="12">
        <f t="shared" si="13"/>
        <v>2.5815681818181817</v>
      </c>
      <c r="DC16" s="12">
        <f t="shared" si="13"/>
        <v>2.5825681818181816</v>
      </c>
      <c r="DD16" s="12">
        <f t="shared" si="13"/>
        <v>2.7045681818181815</v>
      </c>
      <c r="DE16" s="12">
        <f t="shared" si="13"/>
        <v>2.6955681818181816</v>
      </c>
      <c r="DF16" s="12">
        <f t="shared" si="13"/>
        <v>2.7805681818181816</v>
      </c>
      <c r="DG16" s="12">
        <f t="shared" si="13"/>
        <v>-4.3181818181819986E-4</v>
      </c>
    </row>
    <row r="17" spans="2:111" x14ac:dyDescent="0.25">
      <c r="B17" s="714"/>
      <c r="C17" s="10" t="s">
        <v>17</v>
      </c>
      <c r="D17" s="337">
        <f t="shared" ref="D17:O17" si="18">D7-$I$11</f>
        <v>0.10013043478260872</v>
      </c>
      <c r="E17" s="337">
        <f t="shared" si="18"/>
        <v>1.4331304347826088</v>
      </c>
      <c r="F17" s="337">
        <f t="shared" si="18"/>
        <v>1.2681304347826088</v>
      </c>
      <c r="G17" s="337">
        <f t="shared" si="18"/>
        <v>1.2501304347826088</v>
      </c>
      <c r="H17" s="337">
        <f t="shared" si="18"/>
        <v>1.1881304347826087</v>
      </c>
      <c r="I17" s="337">
        <f t="shared" si="18"/>
        <v>1.8711304347826088</v>
      </c>
      <c r="J17" s="337">
        <f t="shared" si="18"/>
        <v>1.4561304347826087</v>
      </c>
      <c r="K17" s="337">
        <f t="shared" si="18"/>
        <v>1.5171304347826087</v>
      </c>
      <c r="L17" s="337">
        <f t="shared" si="18"/>
        <v>1.5631304347826087</v>
      </c>
      <c r="M17" s="337">
        <f t="shared" si="18"/>
        <v>1.2421304347826088</v>
      </c>
      <c r="N17" s="337">
        <f t="shared" si="18"/>
        <v>-1.7869565217391289E-2</v>
      </c>
      <c r="O17" s="338">
        <f t="shared" si="18"/>
        <v>-1.5869565217391288E-2</v>
      </c>
      <c r="R17" s="714"/>
      <c r="S17" s="10" t="s">
        <v>17</v>
      </c>
      <c r="T17" s="214">
        <f t="shared" ref="T17:AE17" si="19">T7-$Y$11</f>
        <v>-2.9288461538461527E-2</v>
      </c>
      <c r="U17" s="337">
        <f t="shared" si="19"/>
        <v>2.0417115384615383</v>
      </c>
      <c r="V17" s="337">
        <f t="shared" si="19"/>
        <v>1.7647115384615386</v>
      </c>
      <c r="W17" s="337">
        <f t="shared" si="19"/>
        <v>1.8997115384615386</v>
      </c>
      <c r="X17" s="337">
        <f t="shared" si="19"/>
        <v>1.9937115384615385</v>
      </c>
      <c r="Y17" s="337">
        <f t="shared" si="19"/>
        <v>2.2067115384615383</v>
      </c>
      <c r="Z17" s="337">
        <f t="shared" si="19"/>
        <v>2.8927115384615383</v>
      </c>
      <c r="AA17" s="337">
        <f t="shared" si="19"/>
        <v>-1.9288461538461532E-2</v>
      </c>
      <c r="AB17" s="337">
        <f t="shared" si="19"/>
        <v>-2.6288461538461531E-2</v>
      </c>
      <c r="AC17" s="337">
        <f t="shared" si="19"/>
        <v>-2.8288461538461533E-2</v>
      </c>
      <c r="AD17" s="337">
        <f t="shared" si="19"/>
        <v>-2.7288461538461532E-2</v>
      </c>
      <c r="AE17" s="337">
        <f t="shared" si="19"/>
        <v>-3.1288461538461529E-2</v>
      </c>
      <c r="AH17" s="690"/>
      <c r="AI17" s="125" t="s">
        <v>17</v>
      </c>
      <c r="AJ17" s="12">
        <f t="shared" si="9"/>
        <v>-1.7886363636363631E-2</v>
      </c>
      <c r="AK17" s="12">
        <f t="shared" si="9"/>
        <v>2.3901136363636364</v>
      </c>
      <c r="AL17" s="12">
        <f t="shared" si="9"/>
        <v>1.8731136363636363</v>
      </c>
      <c r="AM17" s="12">
        <f t="shared" si="9"/>
        <v>1.8431136363636362</v>
      </c>
      <c r="AN17" s="12">
        <f t="shared" si="9"/>
        <v>1.9001136363636364</v>
      </c>
      <c r="AO17" s="12">
        <f t="shared" si="9"/>
        <v>1.6361136363636364</v>
      </c>
      <c r="AP17" s="12">
        <f t="shared" si="9"/>
        <v>1.9741136363636362</v>
      </c>
      <c r="AQ17" s="12">
        <f t="shared" si="9"/>
        <v>2.0031136363636364</v>
      </c>
      <c r="AR17" s="12">
        <f t="shared" si="9"/>
        <v>1.9421136363636362</v>
      </c>
      <c r="AS17" s="12">
        <f t="shared" si="9"/>
        <v>2.0111136363636364</v>
      </c>
      <c r="AT17" s="12">
        <f t="shared" si="9"/>
        <v>2.0861136363636366</v>
      </c>
      <c r="AU17" s="12">
        <f t="shared" si="9"/>
        <v>-1.688636363636363E-2</v>
      </c>
      <c r="AX17" s="690"/>
      <c r="AY17" s="10" t="s">
        <v>17</v>
      </c>
      <c r="AZ17" s="12">
        <f t="shared" si="10"/>
        <v>-1.4285714285714179E-3</v>
      </c>
      <c r="BA17" s="12">
        <f t="shared" si="10"/>
        <v>1.7245714285714286</v>
      </c>
      <c r="BB17" s="12">
        <f t="shared" si="10"/>
        <v>1.7285714285714286</v>
      </c>
      <c r="BC17" s="12">
        <f t="shared" si="10"/>
        <v>1.6555714285714287</v>
      </c>
      <c r="BD17" s="12">
        <f t="shared" si="10"/>
        <v>1.4865714285714287</v>
      </c>
      <c r="BE17" s="12">
        <f t="shared" si="10"/>
        <v>1.5125714285714287</v>
      </c>
      <c r="BF17" s="12">
        <f t="shared" si="10"/>
        <v>1.5635714285714286</v>
      </c>
      <c r="BG17" s="12">
        <f t="shared" si="10"/>
        <v>1.7525714285714287</v>
      </c>
      <c r="BH17" s="12">
        <f t="shared" si="10"/>
        <v>1.7145714285714286</v>
      </c>
      <c r="BI17" s="12">
        <f t="shared" si="10"/>
        <v>-3.4285714285714197E-3</v>
      </c>
      <c r="BJ17" s="12">
        <f t="shared" si="10"/>
        <v>-3.4285714285714197E-3</v>
      </c>
      <c r="BK17" s="12">
        <f t="shared" si="10"/>
        <v>-2.4285714285714188E-3</v>
      </c>
      <c r="BN17" s="690"/>
      <c r="BO17" s="408" t="s">
        <v>17</v>
      </c>
      <c r="BP17" s="12">
        <f t="shared" si="11"/>
        <v>-3.5869565217391264E-3</v>
      </c>
      <c r="BQ17" s="12">
        <f t="shared" si="11"/>
        <v>1.560413043478261</v>
      </c>
      <c r="BR17" s="12">
        <f t="shared" si="11"/>
        <v>1.861413043478261</v>
      </c>
      <c r="BS17" s="12">
        <f t="shared" si="11"/>
        <v>1.6974130434782611</v>
      </c>
      <c r="BT17" s="12">
        <f t="shared" si="11"/>
        <v>1.885413043478261</v>
      </c>
      <c r="BU17" s="12">
        <f t="shared" si="11"/>
        <v>1.9614130434782608</v>
      </c>
      <c r="BV17" s="12">
        <f t="shared" si="11"/>
        <v>1.9484130434782609</v>
      </c>
      <c r="BW17" s="12">
        <f t="shared" si="11"/>
        <v>2.250413043478261</v>
      </c>
      <c r="BX17" s="12">
        <f t="shared" si="11"/>
        <v>2.3644130434782609</v>
      </c>
      <c r="BY17" s="12">
        <f t="shared" si="11"/>
        <v>2.383413043478261</v>
      </c>
      <c r="BZ17" s="12">
        <f t="shared" si="11"/>
        <v>2.0344130434782608</v>
      </c>
      <c r="CA17" s="12">
        <f t="shared" si="11"/>
        <v>-3.5869565217391264E-3</v>
      </c>
      <c r="CD17" s="690"/>
      <c r="CE17" s="408" t="s">
        <v>17</v>
      </c>
      <c r="CF17" s="12">
        <f t="shared" si="12"/>
        <v>-5.4318181818181488E-3</v>
      </c>
      <c r="CG17" s="12">
        <f t="shared" si="12"/>
        <v>1.8375681818181819</v>
      </c>
      <c r="CH17" s="12">
        <f t="shared" si="12"/>
        <v>2.5165681818181818</v>
      </c>
      <c r="CI17" s="12">
        <f t="shared" si="12"/>
        <v>2.4455681818181816</v>
      </c>
      <c r="CJ17" s="12">
        <f t="shared" si="12"/>
        <v>1.1185681818181819</v>
      </c>
      <c r="CK17" s="12">
        <f t="shared" si="12"/>
        <v>1.7065681818181819</v>
      </c>
      <c r="CL17" s="12">
        <f t="shared" si="12"/>
        <v>1.7615681818181819</v>
      </c>
      <c r="CM17" s="12">
        <f t="shared" si="12"/>
        <v>1.2855681818181819</v>
      </c>
      <c r="CN17" s="12">
        <f t="shared" si="12"/>
        <v>-6.4318181818181497E-3</v>
      </c>
      <c r="CO17" s="12">
        <f t="shared" si="12"/>
        <v>-6.4318181818181497E-3</v>
      </c>
      <c r="CP17" s="12">
        <f t="shared" si="12"/>
        <v>-6.4318181818181497E-3</v>
      </c>
      <c r="CQ17" s="21">
        <f t="shared" si="12"/>
        <v>1.5681818181818505E-3</v>
      </c>
      <c r="CT17" s="690"/>
      <c r="CU17" s="408" t="s">
        <v>17</v>
      </c>
      <c r="CV17" s="12">
        <f t="shared" si="13"/>
        <v>-3.4318181818182025E-3</v>
      </c>
      <c r="CW17" s="12">
        <f t="shared" si="13"/>
        <v>2.9425681818181815</v>
      </c>
      <c r="CX17" s="12">
        <f t="shared" si="13"/>
        <v>2.8335681818181815</v>
      </c>
      <c r="CY17" s="12">
        <f t="shared" si="13"/>
        <v>2.7875681818181817</v>
      </c>
      <c r="CZ17" s="12">
        <f t="shared" si="13"/>
        <v>2.5585681818181816</v>
      </c>
      <c r="DA17" s="12">
        <f t="shared" si="13"/>
        <v>2.8955681818181818</v>
      </c>
      <c r="DB17" s="12">
        <f t="shared" si="13"/>
        <v>2.8175681818181815</v>
      </c>
      <c r="DC17" s="12">
        <f t="shared" si="13"/>
        <v>2.9885681818181817</v>
      </c>
      <c r="DD17" s="12">
        <f t="shared" si="13"/>
        <v>2.8435681818181817</v>
      </c>
      <c r="DE17" s="12">
        <f t="shared" si="13"/>
        <v>2.9215681818181816</v>
      </c>
      <c r="DF17" s="12">
        <f t="shared" si="13"/>
        <v>2.9575681818181816</v>
      </c>
      <c r="DG17" s="12">
        <f t="shared" si="13"/>
        <v>1.5681818181818019E-3</v>
      </c>
    </row>
    <row r="18" spans="2:111" x14ac:dyDescent="0.25">
      <c r="B18" s="714"/>
      <c r="C18" s="10" t="s">
        <v>18</v>
      </c>
      <c r="D18" s="337">
        <f t="shared" ref="D18:O18" si="20">D8-$I$11</f>
        <v>-1.6869565217391289E-2</v>
      </c>
      <c r="E18" s="337">
        <f t="shared" si="20"/>
        <v>1.7371304347826086</v>
      </c>
      <c r="F18" s="337">
        <f t="shared" si="20"/>
        <v>1.5891304347826087</v>
      </c>
      <c r="G18" s="337">
        <f t="shared" si="20"/>
        <v>1.3581304347826086</v>
      </c>
      <c r="H18" s="337">
        <f t="shared" si="20"/>
        <v>1.9511304347826086</v>
      </c>
      <c r="I18" s="337">
        <f t="shared" si="20"/>
        <v>1.8941304347826087</v>
      </c>
      <c r="J18" s="337">
        <f t="shared" si="20"/>
        <v>1.6591304347826088</v>
      </c>
      <c r="K18" s="337">
        <f t="shared" si="20"/>
        <v>2.4130434782608706E-2</v>
      </c>
      <c r="L18" s="337">
        <f t="shared" si="20"/>
        <v>-4.8695652173912918E-3</v>
      </c>
      <c r="M18" s="337">
        <f t="shared" si="20"/>
        <v>-1.5869565217391288E-2</v>
      </c>
      <c r="N18" s="337">
        <f t="shared" si="20"/>
        <v>-1.6869565217391289E-2</v>
      </c>
      <c r="O18" s="338">
        <f t="shared" si="20"/>
        <v>-1.6869565217391289E-2</v>
      </c>
      <c r="R18" s="714"/>
      <c r="S18" s="10" t="s">
        <v>18</v>
      </c>
      <c r="T18" s="214">
        <f t="shared" ref="T18:AE18" si="21">T8-$Y$11</f>
        <v>-2.9288461538461527E-2</v>
      </c>
      <c r="U18" s="337">
        <f t="shared" si="21"/>
        <v>2.1397115384615382</v>
      </c>
      <c r="V18" s="337">
        <f t="shared" si="21"/>
        <v>2.6987115384615383</v>
      </c>
      <c r="W18" s="337">
        <f t="shared" si="21"/>
        <v>1.8177115384615385</v>
      </c>
      <c r="X18" s="337">
        <f t="shared" si="21"/>
        <v>2.6567115384615385</v>
      </c>
      <c r="Y18" s="337">
        <f t="shared" si="21"/>
        <v>2.2157115384615382</v>
      </c>
      <c r="Z18" s="337">
        <f t="shared" si="21"/>
        <v>1.8427115384615385</v>
      </c>
      <c r="AA18" s="337">
        <f t="shared" si="21"/>
        <v>-2.9288461538461527E-2</v>
      </c>
      <c r="AB18" s="337">
        <f t="shared" si="21"/>
        <v>-2.2288461538461528E-2</v>
      </c>
      <c r="AC18" s="337">
        <f t="shared" si="21"/>
        <v>-3.0288461538461528E-2</v>
      </c>
      <c r="AD18" s="337">
        <f t="shared" si="21"/>
        <v>-2.9288461538461527E-2</v>
      </c>
      <c r="AE18" s="337">
        <f t="shared" si="21"/>
        <v>-3.0288461538461528E-2</v>
      </c>
      <c r="AH18" s="690"/>
      <c r="AI18" s="125" t="s">
        <v>18</v>
      </c>
      <c r="AJ18" s="12">
        <f t="shared" si="9"/>
        <v>-1.688636363636363E-2</v>
      </c>
      <c r="AK18" s="12">
        <f t="shared" si="9"/>
        <v>1.9331136363636363</v>
      </c>
      <c r="AL18" s="12">
        <f t="shared" si="9"/>
        <v>2.0541136363636365</v>
      </c>
      <c r="AM18" s="12">
        <f t="shared" si="9"/>
        <v>1.2331136363636364</v>
      </c>
      <c r="AN18" s="12">
        <f t="shared" si="9"/>
        <v>1.4331136363636363</v>
      </c>
      <c r="AO18" s="12">
        <f t="shared" si="9"/>
        <v>1.4931136363636364</v>
      </c>
      <c r="AP18" s="12">
        <f t="shared" si="9"/>
        <v>1.4031136363636363</v>
      </c>
      <c r="AQ18" s="12">
        <f t="shared" si="9"/>
        <v>-1.7886363636363631E-2</v>
      </c>
      <c r="AR18" s="12">
        <f t="shared" si="9"/>
        <v>7.0113636363636378E-2</v>
      </c>
      <c r="AS18" s="12">
        <f t="shared" si="9"/>
        <v>0.10011363636363638</v>
      </c>
      <c r="AT18" s="12">
        <f t="shared" si="9"/>
        <v>0.14211363636363636</v>
      </c>
      <c r="AU18" s="12">
        <f t="shared" si="9"/>
        <v>0.11911363636363637</v>
      </c>
      <c r="AX18" s="690"/>
      <c r="AY18" s="10" t="s">
        <v>18</v>
      </c>
      <c r="AZ18" s="12">
        <f t="shared" si="10"/>
        <v>-1.4285714285714179E-3</v>
      </c>
      <c r="BA18" s="12">
        <f t="shared" si="10"/>
        <v>2.1155714285714282</v>
      </c>
      <c r="BB18" s="12">
        <f t="shared" si="10"/>
        <v>2.0455714285714284</v>
      </c>
      <c r="BC18" s="12">
        <f t="shared" si="10"/>
        <v>2.1515714285714282</v>
      </c>
      <c r="BD18" s="12">
        <f t="shared" si="10"/>
        <v>1.7755714285714286</v>
      </c>
      <c r="BE18" s="12">
        <f t="shared" si="10"/>
        <v>1.8965714285714286</v>
      </c>
      <c r="BF18" s="12">
        <f t="shared" si="10"/>
        <v>1.8385714285714285</v>
      </c>
      <c r="BG18" s="12">
        <f t="shared" si="10"/>
        <v>2.0515714285714286</v>
      </c>
      <c r="BH18" s="12">
        <f t="shared" si="10"/>
        <v>1.9205714285714286</v>
      </c>
      <c r="BI18" s="12">
        <f t="shared" si="10"/>
        <v>1.9645714285714286</v>
      </c>
      <c r="BJ18" s="12">
        <f t="shared" si="10"/>
        <v>-2.4285714285714188E-3</v>
      </c>
      <c r="BK18" s="12">
        <f t="shared" si="10"/>
        <v>-2.4285714285714188E-3</v>
      </c>
      <c r="BN18" s="690"/>
      <c r="BO18" s="408" t="s">
        <v>18</v>
      </c>
      <c r="BP18" s="12">
        <f t="shared" si="11"/>
        <v>-2.5869565217391255E-3</v>
      </c>
      <c r="BQ18" s="12">
        <f t="shared" si="11"/>
        <v>2.0264130434782608</v>
      </c>
      <c r="BR18" s="12">
        <f t="shared" si="11"/>
        <v>1.5694130434782609</v>
      </c>
      <c r="BS18" s="12">
        <f t="shared" si="11"/>
        <v>1.665413043478261</v>
      </c>
      <c r="BT18" s="12">
        <f t="shared" si="11"/>
        <v>1.9084130434782609</v>
      </c>
      <c r="BU18" s="12">
        <f t="shared" si="11"/>
        <v>1.7034130434782608</v>
      </c>
      <c r="BV18" s="12">
        <f t="shared" si="11"/>
        <v>-2.5869565217391255E-3</v>
      </c>
      <c r="BW18" s="12">
        <f t="shared" si="11"/>
        <v>-2.5869565217391255E-3</v>
      </c>
      <c r="BX18" s="12">
        <f t="shared" si="11"/>
        <v>-2.5869565217391255E-3</v>
      </c>
      <c r="BY18" s="12">
        <f t="shared" si="11"/>
        <v>-2.5869565217391255E-3</v>
      </c>
      <c r="BZ18" s="12">
        <f t="shared" si="11"/>
        <v>-2.5869565217391255E-3</v>
      </c>
      <c r="CA18" s="12">
        <f t="shared" si="11"/>
        <v>-2.5869565217391255E-3</v>
      </c>
      <c r="CD18" s="690"/>
      <c r="CE18" s="408" t="s">
        <v>18</v>
      </c>
      <c r="CF18" s="12">
        <f t="shared" si="12"/>
        <v>-5.4318181818181488E-3</v>
      </c>
      <c r="CG18" s="12">
        <f t="shared" si="12"/>
        <v>1.8335681818181819</v>
      </c>
      <c r="CH18" s="12">
        <f t="shared" si="12"/>
        <v>1.5815681818181819</v>
      </c>
      <c r="CI18" s="12">
        <f t="shared" si="12"/>
        <v>1.8585681818181818</v>
      </c>
      <c r="CJ18" s="12">
        <f t="shared" si="12"/>
        <v>2.7845681818181816</v>
      </c>
      <c r="CK18" s="12">
        <f t="shared" si="12"/>
        <v>1.8885681818181819</v>
      </c>
      <c r="CL18" s="12">
        <f t="shared" si="12"/>
        <v>1.8555681818181819</v>
      </c>
      <c r="CM18" s="12">
        <f t="shared" si="12"/>
        <v>1.4165681818181819</v>
      </c>
      <c r="CN18" s="12">
        <f t="shared" si="12"/>
        <v>2.0585681818181816</v>
      </c>
      <c r="CO18" s="12">
        <f t="shared" si="12"/>
        <v>2.1065681818181816</v>
      </c>
      <c r="CP18" s="12">
        <f t="shared" si="12"/>
        <v>-6.4318181818181497E-3</v>
      </c>
      <c r="CQ18" s="21">
        <f t="shared" si="12"/>
        <v>-5.4318181818181488E-3</v>
      </c>
      <c r="CT18" s="690"/>
      <c r="CU18" s="408" t="s">
        <v>18</v>
      </c>
      <c r="CV18" s="12">
        <f t="shared" si="13"/>
        <v>-6.4318181818181913E-3</v>
      </c>
      <c r="CW18" s="12">
        <f t="shared" si="13"/>
        <v>3.5135681818181816</v>
      </c>
      <c r="CX18" s="12">
        <f t="shared" si="13"/>
        <v>2.8485681818181816</v>
      </c>
      <c r="CY18" s="12">
        <f t="shared" si="13"/>
        <v>2.8205681818181816</v>
      </c>
      <c r="CZ18" s="12">
        <f t="shared" si="13"/>
        <v>2.6485681818181819</v>
      </c>
      <c r="DA18" s="12">
        <f t="shared" si="13"/>
        <v>2.4085681818181817</v>
      </c>
      <c r="DB18" s="12">
        <f t="shared" si="13"/>
        <v>2.7085681818181815</v>
      </c>
      <c r="DC18" s="12">
        <f t="shared" si="13"/>
        <v>-4.4318181818182034E-3</v>
      </c>
      <c r="DD18" s="12">
        <f t="shared" si="13"/>
        <v>-3.4318181818182025E-3</v>
      </c>
      <c r="DE18" s="12">
        <f t="shared" si="13"/>
        <v>-4.4318181818182034E-3</v>
      </c>
      <c r="DF18" s="12">
        <f t="shared" si="13"/>
        <v>-5.4318181818182043E-3</v>
      </c>
      <c r="DG18" s="12">
        <f t="shared" si="13"/>
        <v>-5.4318181818182043E-3</v>
      </c>
    </row>
    <row r="19" spans="2:111" x14ac:dyDescent="0.25">
      <c r="B19" s="714"/>
      <c r="C19" s="10" t="s">
        <v>19</v>
      </c>
      <c r="D19" s="337">
        <f t="shared" ref="D19:O19" si="22">D9-$I$11</f>
        <v>-1.6869565217391289E-2</v>
      </c>
      <c r="E19" s="337">
        <f t="shared" si="22"/>
        <v>1.7661304347826088</v>
      </c>
      <c r="F19" s="337">
        <f t="shared" si="22"/>
        <v>1.7901304347826088</v>
      </c>
      <c r="G19" s="337">
        <f t="shared" si="22"/>
        <v>1.3261304347826086</v>
      </c>
      <c r="H19" s="337">
        <f t="shared" si="22"/>
        <v>1.7441304347826088</v>
      </c>
      <c r="I19" s="337">
        <f t="shared" si="22"/>
        <v>1.6721304347826087</v>
      </c>
      <c r="J19" s="337">
        <f t="shared" si="22"/>
        <v>1.5971304347826087</v>
      </c>
      <c r="K19" s="337">
        <f t="shared" si="22"/>
        <v>-1.7869565217391289E-2</v>
      </c>
      <c r="L19" s="337">
        <f t="shared" si="22"/>
        <v>-2.86956521739129E-3</v>
      </c>
      <c r="M19" s="337">
        <f t="shared" si="22"/>
        <v>-1.1869565217391291E-2</v>
      </c>
      <c r="N19" s="337">
        <f t="shared" si="22"/>
        <v>-1.2869565217391292E-2</v>
      </c>
      <c r="O19" s="338">
        <f t="shared" si="22"/>
        <v>-6.8695652173912936E-3</v>
      </c>
      <c r="R19" s="714"/>
      <c r="S19" s="10" t="s">
        <v>19</v>
      </c>
      <c r="T19" s="214">
        <f t="shared" ref="T19:AE19" si="23">T9-$Y$11</f>
        <v>0.20771153846153845</v>
      </c>
      <c r="U19" s="337">
        <f t="shared" si="23"/>
        <v>2.1017115384615384</v>
      </c>
      <c r="V19" s="337">
        <f t="shared" si="23"/>
        <v>2.5187115384615382</v>
      </c>
      <c r="W19" s="337">
        <f t="shared" si="23"/>
        <v>1.7267115384615386</v>
      </c>
      <c r="X19" s="337">
        <f t="shared" si="23"/>
        <v>2.3927115384615383</v>
      </c>
      <c r="Y19" s="337">
        <f t="shared" si="23"/>
        <v>2.1377115384615384</v>
      </c>
      <c r="Z19" s="337">
        <f t="shared" si="23"/>
        <v>1.8677115384615386</v>
      </c>
      <c r="AA19" s="337">
        <f t="shared" si="23"/>
        <v>-3.0288461538461528E-2</v>
      </c>
      <c r="AB19" s="337">
        <f t="shared" si="23"/>
        <v>-3.1288461538461529E-2</v>
      </c>
      <c r="AC19" s="337">
        <f t="shared" si="23"/>
        <v>-3.0288461538461528E-2</v>
      </c>
      <c r="AD19" s="337">
        <f t="shared" si="23"/>
        <v>-3.0288461538461528E-2</v>
      </c>
      <c r="AE19" s="337">
        <f t="shared" si="23"/>
        <v>-2.7288461538461532E-2</v>
      </c>
      <c r="AH19" s="690"/>
      <c r="AI19" s="125" t="s">
        <v>19</v>
      </c>
      <c r="AJ19" s="12">
        <f t="shared" si="9"/>
        <v>7.211363636363638E-2</v>
      </c>
      <c r="AK19" s="12">
        <f t="shared" si="9"/>
        <v>1.8721136363636364</v>
      </c>
      <c r="AL19" s="12">
        <f t="shared" si="9"/>
        <v>1.8631136363636362</v>
      </c>
      <c r="AM19" s="12">
        <f t="shared" si="9"/>
        <v>1.1931136363636363</v>
      </c>
      <c r="AN19" s="12">
        <f t="shared" si="9"/>
        <v>1.3931136363636363</v>
      </c>
      <c r="AO19" s="12">
        <f t="shared" si="9"/>
        <v>1.4651136363636363</v>
      </c>
      <c r="AP19" s="12">
        <f t="shared" si="9"/>
        <v>1.4231136363636363</v>
      </c>
      <c r="AQ19" s="12">
        <f t="shared" si="9"/>
        <v>1.1113636363636367E-2</v>
      </c>
      <c r="AR19" s="12">
        <f t="shared" si="9"/>
        <v>1.0113636363636366E-2</v>
      </c>
      <c r="AS19" s="12">
        <f t="shared" si="9"/>
        <v>-1.5886363636363636E-2</v>
      </c>
      <c r="AT19" s="12">
        <f t="shared" si="9"/>
        <v>-1.688636363636363E-2</v>
      </c>
      <c r="AU19" s="12">
        <f t="shared" si="9"/>
        <v>-1.3886363636363634E-2</v>
      </c>
      <c r="AX19" s="690"/>
      <c r="AY19" s="10" t="s">
        <v>19</v>
      </c>
      <c r="AZ19" s="12">
        <f t="shared" si="10"/>
        <v>-1.4285714285714179E-3</v>
      </c>
      <c r="BA19" s="12">
        <f t="shared" si="10"/>
        <v>2.1215714285714284</v>
      </c>
      <c r="BB19" s="12">
        <f t="shared" si="10"/>
        <v>2.0715714285714286</v>
      </c>
      <c r="BC19" s="12">
        <f t="shared" si="10"/>
        <v>2.1695714285714285</v>
      </c>
      <c r="BD19" s="12">
        <f t="shared" si="10"/>
        <v>1.8695714285714287</v>
      </c>
      <c r="BE19" s="12">
        <f t="shared" si="10"/>
        <v>1.9485714285714286</v>
      </c>
      <c r="BF19" s="12">
        <f t="shared" si="10"/>
        <v>1.9325714285714286</v>
      </c>
      <c r="BG19" s="12">
        <f t="shared" si="10"/>
        <v>2.1315714285714282</v>
      </c>
      <c r="BH19" s="12">
        <f t="shared" si="10"/>
        <v>2.0425714285714283</v>
      </c>
      <c r="BI19" s="12">
        <f t="shared" si="10"/>
        <v>1.7885714285714287</v>
      </c>
      <c r="BJ19" s="12">
        <f t="shared" si="10"/>
        <v>-2.4285714285714188E-3</v>
      </c>
      <c r="BK19" s="12">
        <f t="shared" si="10"/>
        <v>-2.4285714285714188E-3</v>
      </c>
      <c r="BN19" s="690"/>
      <c r="BO19" s="408" t="s">
        <v>19</v>
      </c>
      <c r="BP19" s="12">
        <f t="shared" si="11"/>
        <v>-2.5869565217391255E-3</v>
      </c>
      <c r="BQ19" s="12">
        <f t="shared" si="11"/>
        <v>2.1604130434782611</v>
      </c>
      <c r="BR19" s="12">
        <f t="shared" si="11"/>
        <v>1.6884130434782609</v>
      </c>
      <c r="BS19" s="12">
        <f t="shared" si="11"/>
        <v>1.8174130434782609</v>
      </c>
      <c r="BT19" s="12">
        <f t="shared" si="11"/>
        <v>2.024413043478261</v>
      </c>
      <c r="BU19" s="12">
        <f t="shared" si="11"/>
        <v>1.7754130434782609</v>
      </c>
      <c r="BV19" s="12">
        <f t="shared" si="11"/>
        <v>-2.5869565217391255E-3</v>
      </c>
      <c r="BW19" s="12">
        <f t="shared" si="11"/>
        <v>-1.5869565217391246E-3</v>
      </c>
      <c r="BX19" s="12">
        <f t="shared" si="11"/>
        <v>-1.5869565217391246E-3</v>
      </c>
      <c r="BY19" s="12">
        <f t="shared" si="11"/>
        <v>-2.5869565217391255E-3</v>
      </c>
      <c r="BZ19" s="12">
        <f t="shared" si="11"/>
        <v>1.1413043478260873E-2</v>
      </c>
      <c r="CA19" s="12">
        <f t="shared" si="11"/>
        <v>1.0413043478260872E-2</v>
      </c>
      <c r="CD19" s="690"/>
      <c r="CE19" s="408" t="s">
        <v>19</v>
      </c>
      <c r="CF19" s="12">
        <f t="shared" si="12"/>
        <v>-4.4318181818181548E-3</v>
      </c>
      <c r="CG19" s="12">
        <f t="shared" si="12"/>
        <v>1.8555681818181819</v>
      </c>
      <c r="CH19" s="12">
        <f t="shared" si="12"/>
        <v>1.6425681818181819</v>
      </c>
      <c r="CI19" s="12">
        <f t="shared" si="12"/>
        <v>1.9575681818181818</v>
      </c>
      <c r="CJ19" s="12">
        <f t="shared" si="12"/>
        <v>3.0995681818181815</v>
      </c>
      <c r="CK19" s="12">
        <f t="shared" si="12"/>
        <v>2.1265681818181816</v>
      </c>
      <c r="CL19" s="12">
        <f t="shared" si="12"/>
        <v>1.927568181818182</v>
      </c>
      <c r="CM19" s="12">
        <f t="shared" si="12"/>
        <v>1.4875681818181818</v>
      </c>
      <c r="CN19" s="12">
        <f t="shared" si="12"/>
        <v>2.1045681818181818</v>
      </c>
      <c r="CO19" s="12">
        <f t="shared" si="12"/>
        <v>2.1165681818181818</v>
      </c>
      <c r="CP19" s="12">
        <f t="shared" si="12"/>
        <v>-5.4318181818181488E-3</v>
      </c>
      <c r="CQ19" s="21">
        <f t="shared" si="12"/>
        <v>-1.4318181818181522E-3</v>
      </c>
      <c r="CT19" s="690"/>
      <c r="CU19" s="408" t="s">
        <v>19</v>
      </c>
      <c r="CV19" s="12">
        <f t="shared" si="13"/>
        <v>-1.3431818181818198E-2</v>
      </c>
      <c r="CW19" s="12">
        <f t="shared" si="13"/>
        <v>3.0705681818181816</v>
      </c>
      <c r="CX19" s="12">
        <f t="shared" si="13"/>
        <v>2.9915681818181818</v>
      </c>
      <c r="CY19" s="12">
        <f t="shared" si="13"/>
        <v>2.9855681818181816</v>
      </c>
      <c r="CZ19" s="12">
        <f t="shared" si="13"/>
        <v>2.6735681818181818</v>
      </c>
      <c r="DA19" s="12">
        <f t="shared" si="13"/>
        <v>2.7845681818181816</v>
      </c>
      <c r="DB19" s="12">
        <f t="shared" si="13"/>
        <v>2.8875681818181818</v>
      </c>
      <c r="DC19" s="12">
        <f t="shared" si="13"/>
        <v>5.6818181818180102E-4</v>
      </c>
      <c r="DD19" s="12">
        <f t="shared" si="13"/>
        <v>1.5681818181818019E-3</v>
      </c>
      <c r="DE19" s="12">
        <f t="shared" si="13"/>
        <v>-4.3181818181819986E-4</v>
      </c>
      <c r="DF19" s="12">
        <f t="shared" si="13"/>
        <v>-2.4318181818182016E-3</v>
      </c>
      <c r="DG19" s="12">
        <f t="shared" si="13"/>
        <v>-1.4318181818182008E-3</v>
      </c>
    </row>
    <row r="20" spans="2:111" ht="15.75" thickBot="1" x14ac:dyDescent="0.3">
      <c r="B20" s="715"/>
      <c r="C20" s="22" t="s">
        <v>20</v>
      </c>
      <c r="D20" s="339">
        <f t="shared" ref="D20:O20" si="24">D10-$I$11</f>
        <v>-1.1869565217391291E-2</v>
      </c>
      <c r="E20" s="339">
        <f t="shared" si="24"/>
        <v>-1.5869565217391288E-2</v>
      </c>
      <c r="F20" s="339">
        <f t="shared" si="24"/>
        <v>-1.6869565217391289E-2</v>
      </c>
      <c r="G20" s="339">
        <f t="shared" si="24"/>
        <v>-1.6869565217391289E-2</v>
      </c>
      <c r="H20" s="339">
        <f t="shared" si="24"/>
        <v>-1.6869565217391289E-2</v>
      </c>
      <c r="I20" s="339">
        <f t="shared" si="24"/>
        <v>-1.6869565217391289E-2</v>
      </c>
      <c r="J20" s="339">
        <f t="shared" si="24"/>
        <v>7.6130434782608697E-2</v>
      </c>
      <c r="K20" s="339">
        <f t="shared" si="24"/>
        <v>7.130434782608705E-3</v>
      </c>
      <c r="L20" s="339">
        <f t="shared" si="24"/>
        <v>-6.8695652173912936E-3</v>
      </c>
      <c r="M20" s="339">
        <f t="shared" si="24"/>
        <v>-1.4869565217391294E-2</v>
      </c>
      <c r="N20" s="339">
        <f t="shared" si="24"/>
        <v>-1.7869565217391289E-2</v>
      </c>
      <c r="O20" s="340">
        <f t="shared" si="24"/>
        <v>-1.4869565217391294E-2</v>
      </c>
      <c r="R20" s="715"/>
      <c r="S20" s="22" t="s">
        <v>20</v>
      </c>
      <c r="T20" s="214">
        <f t="shared" ref="T20:AE20" si="25">T10-$Y$11</f>
        <v>-2.9288461538461527E-2</v>
      </c>
      <c r="U20" s="337">
        <f t="shared" si="25"/>
        <v>-2.9288461538461527E-2</v>
      </c>
      <c r="V20" s="337">
        <f t="shared" si="25"/>
        <v>-2.9288461538461527E-2</v>
      </c>
      <c r="W20" s="337">
        <f t="shared" si="25"/>
        <v>-3.0288461538461528E-2</v>
      </c>
      <c r="X20" s="337">
        <f t="shared" si="25"/>
        <v>-2.8288461538461533E-2</v>
      </c>
      <c r="Y20" s="337">
        <f t="shared" si="25"/>
        <v>-3.0288461538461528E-2</v>
      </c>
      <c r="Z20" s="337">
        <f t="shared" si="25"/>
        <v>-3.0288461538461528E-2</v>
      </c>
      <c r="AA20" s="337">
        <f t="shared" si="25"/>
        <v>-3.1288461538461529E-2</v>
      </c>
      <c r="AB20" s="337">
        <f t="shared" si="25"/>
        <v>-2.9288461538461527E-2</v>
      </c>
      <c r="AC20" s="337">
        <f t="shared" si="25"/>
        <v>-3.1288461538461529E-2</v>
      </c>
      <c r="AD20" s="337">
        <f t="shared" si="25"/>
        <v>-3.1288461538461529E-2</v>
      </c>
      <c r="AE20" s="337">
        <f t="shared" si="25"/>
        <v>-3.1288461538461529E-2</v>
      </c>
      <c r="AH20" s="691"/>
      <c r="AI20" s="136" t="s">
        <v>20</v>
      </c>
      <c r="AJ20" s="314">
        <f t="shared" si="9"/>
        <v>-1.7886363636363631E-2</v>
      </c>
      <c r="AK20" s="314">
        <f t="shared" si="9"/>
        <v>-1.0886363636363632E-2</v>
      </c>
      <c r="AL20" s="314">
        <f t="shared" si="9"/>
        <v>-1.8886363636363632E-2</v>
      </c>
      <c r="AM20" s="314">
        <f t="shared" si="9"/>
        <v>-1.8886363636363632E-2</v>
      </c>
      <c r="AN20" s="314">
        <f t="shared" si="9"/>
        <v>-9.8863636363636306E-3</v>
      </c>
      <c r="AO20" s="314">
        <f t="shared" si="9"/>
        <v>7.1136363636363636E-3</v>
      </c>
      <c r="AP20" s="314">
        <f t="shared" si="9"/>
        <v>-1.7886363636363631E-2</v>
      </c>
      <c r="AQ20" s="314">
        <f t="shared" si="9"/>
        <v>4.8113636363636372E-2</v>
      </c>
      <c r="AR20" s="314">
        <f t="shared" si="9"/>
        <v>-1.7886363636363631E-2</v>
      </c>
      <c r="AS20" s="314">
        <f t="shared" si="9"/>
        <v>-1.688636363636363E-2</v>
      </c>
      <c r="AT20" s="314">
        <f t="shared" si="9"/>
        <v>-1.688636363636363E-2</v>
      </c>
      <c r="AU20" s="314">
        <f t="shared" si="9"/>
        <v>-7.8863636363636358E-3</v>
      </c>
      <c r="AX20" s="690"/>
      <c r="AY20" s="159" t="s">
        <v>20</v>
      </c>
      <c r="AZ20" s="314">
        <f t="shared" si="10"/>
        <v>-2.4285714285714188E-3</v>
      </c>
      <c r="BA20" s="314">
        <f t="shared" si="10"/>
        <v>-2.4285714285714188E-3</v>
      </c>
      <c r="BB20" s="314">
        <f t="shared" si="10"/>
        <v>-2.4285714285714188E-3</v>
      </c>
      <c r="BC20" s="314">
        <f t="shared" si="10"/>
        <v>3.0571428571428583E-2</v>
      </c>
      <c r="BD20" s="314">
        <f t="shared" si="10"/>
        <v>-2.4285714285714188E-3</v>
      </c>
      <c r="BE20" s="314">
        <f t="shared" si="10"/>
        <v>-3.4285714285714197E-3</v>
      </c>
      <c r="BF20" s="314">
        <f t="shared" si="10"/>
        <v>-2.4285714285714188E-3</v>
      </c>
      <c r="BG20" s="314">
        <f t="shared" si="10"/>
        <v>-3.4285714285714197E-3</v>
      </c>
      <c r="BH20" s="314">
        <f t="shared" si="10"/>
        <v>-3.4285714285714197E-3</v>
      </c>
      <c r="BI20" s="314">
        <f t="shared" si="10"/>
        <v>-3.4285714285714197E-3</v>
      </c>
      <c r="BJ20" s="314">
        <f t="shared" si="10"/>
        <v>-2.4285714285714188E-3</v>
      </c>
      <c r="BK20" s="314">
        <f t="shared" si="10"/>
        <v>-3.4285714285714197E-3</v>
      </c>
      <c r="BN20" s="690"/>
      <c r="BO20" s="410" t="s">
        <v>20</v>
      </c>
      <c r="BP20" s="314">
        <f t="shared" si="11"/>
        <v>3.4130434782608729E-3</v>
      </c>
      <c r="BQ20" s="314">
        <f t="shared" si="11"/>
        <v>1.0413043478260872E-2</v>
      </c>
      <c r="BR20" s="314">
        <f t="shared" si="11"/>
        <v>-3.5869565217391264E-3</v>
      </c>
      <c r="BS20" s="314">
        <f t="shared" si="11"/>
        <v>-3.5869565217391264E-3</v>
      </c>
      <c r="BT20" s="314">
        <f t="shared" si="11"/>
        <v>-2.5869565217391255E-3</v>
      </c>
      <c r="BU20" s="314">
        <f t="shared" si="11"/>
        <v>-1.5869565217391246E-3</v>
      </c>
      <c r="BV20" s="314">
        <f t="shared" si="11"/>
        <v>1.5413043478260877E-2</v>
      </c>
      <c r="BW20" s="314">
        <f t="shared" si="11"/>
        <v>5.4130434782608747E-3</v>
      </c>
      <c r="BX20" s="314">
        <f t="shared" si="11"/>
        <v>4.4130434782608738E-3</v>
      </c>
      <c r="BY20" s="314">
        <f t="shared" si="11"/>
        <v>3.4130434782608729E-3</v>
      </c>
      <c r="BZ20" s="314">
        <f t="shared" si="11"/>
        <v>-5.8695652173913065E-4</v>
      </c>
      <c r="CA20" s="314">
        <f t="shared" si="11"/>
        <v>6.4130434782608756E-3</v>
      </c>
      <c r="CD20" s="690"/>
      <c r="CE20" s="409" t="s">
        <v>20</v>
      </c>
      <c r="CF20" s="24">
        <f t="shared" si="12"/>
        <v>7.5681818181818489E-3</v>
      </c>
      <c r="CG20" s="24">
        <f t="shared" si="12"/>
        <v>7.5681818181818489E-3</v>
      </c>
      <c r="CH20" s="24">
        <f t="shared" si="12"/>
        <v>0.17356818181818184</v>
      </c>
      <c r="CI20" s="24">
        <f t="shared" si="12"/>
        <v>-5.4318181818181488E-3</v>
      </c>
      <c r="CJ20" s="24">
        <f t="shared" si="12"/>
        <v>5.681818181818496E-4</v>
      </c>
      <c r="CK20" s="24">
        <f t="shared" si="12"/>
        <v>2.5681818181818514E-3</v>
      </c>
      <c r="CL20" s="24">
        <f t="shared" si="12"/>
        <v>-6.4318181818181497E-3</v>
      </c>
      <c r="CM20" s="24">
        <f t="shared" si="12"/>
        <v>-6.4318181818181497E-3</v>
      </c>
      <c r="CN20" s="24">
        <f t="shared" si="12"/>
        <v>-6.4318181818181497E-3</v>
      </c>
      <c r="CO20" s="24">
        <f t="shared" si="12"/>
        <v>-6.4318181818181497E-3</v>
      </c>
      <c r="CP20" s="24">
        <f t="shared" si="12"/>
        <v>-4.4318181818181548E-3</v>
      </c>
      <c r="CQ20" s="25">
        <f t="shared" si="12"/>
        <v>5.5681818181818471E-3</v>
      </c>
      <c r="CT20" s="690"/>
      <c r="CU20" s="409" t="s">
        <v>20</v>
      </c>
      <c r="CV20" s="12">
        <f t="shared" si="13"/>
        <v>1.5681818181818019E-3</v>
      </c>
      <c r="CW20" s="12">
        <f t="shared" si="13"/>
        <v>-5.4318181818182043E-3</v>
      </c>
      <c r="CX20" s="12">
        <f t="shared" si="13"/>
        <v>0.10356818181818181</v>
      </c>
      <c r="CY20" s="12">
        <f t="shared" si="13"/>
        <v>5.5681818181818055E-3</v>
      </c>
      <c r="CZ20" s="12">
        <f t="shared" si="13"/>
        <v>-4.4318181818182034E-3</v>
      </c>
      <c r="DA20" s="12">
        <f t="shared" si="13"/>
        <v>-5.4318181818182043E-3</v>
      </c>
      <c r="DB20" s="12">
        <f t="shared" si="13"/>
        <v>6.2568181818181801E-2</v>
      </c>
      <c r="DC20" s="12">
        <f t="shared" si="13"/>
        <v>6.5681818181818064E-3</v>
      </c>
      <c r="DD20" s="12">
        <f t="shared" si="13"/>
        <v>8.5681818181818081E-3</v>
      </c>
      <c r="DE20" s="12">
        <f t="shared" si="13"/>
        <v>9.568181818181809E-3</v>
      </c>
      <c r="DF20" s="12">
        <f t="shared" si="13"/>
        <v>2.5681818181818028E-3</v>
      </c>
      <c r="DG20" s="12">
        <f t="shared" si="13"/>
        <v>8.5681818181818081E-3</v>
      </c>
    </row>
    <row r="21" spans="2:111" x14ac:dyDescent="0.25">
      <c r="B21" s="689" t="s">
        <v>89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R21" s="689" t="s">
        <v>89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H21" s="689" t="s">
        <v>89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9"/>
      <c r="AX21" s="689" t="s">
        <v>89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9"/>
      <c r="BN21" s="689" t="s">
        <v>89</v>
      </c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9"/>
      <c r="CD21" s="689" t="s">
        <v>89</v>
      </c>
      <c r="CE21" s="375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9"/>
      <c r="CT21" s="689" t="s">
        <v>89</v>
      </c>
      <c r="CU21" s="375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9"/>
    </row>
    <row r="22" spans="2:111" x14ac:dyDescent="0.25">
      <c r="B22" s="690"/>
      <c r="O22" s="215"/>
      <c r="R22" s="690"/>
      <c r="AE22" s="4"/>
      <c r="AH22" s="690"/>
      <c r="AU22" s="4"/>
      <c r="AX22" s="690"/>
      <c r="BK22" s="4"/>
      <c r="BN22" s="690"/>
      <c r="CA22" s="4"/>
      <c r="CD22" s="690"/>
      <c r="CE22" s="80"/>
      <c r="CQ22" s="4"/>
      <c r="CT22" s="690"/>
      <c r="CU22" s="80"/>
      <c r="DG22" s="4"/>
    </row>
    <row r="23" spans="2:111" x14ac:dyDescent="0.25">
      <c r="B23" s="690"/>
      <c r="C23" s="131">
        <f>AVERAGE(E14:E15)</f>
        <v>4.6304347826087097E-3</v>
      </c>
      <c r="D23" s="157">
        <v>0</v>
      </c>
      <c r="O23" s="4"/>
      <c r="R23" s="690"/>
      <c r="S23" s="131">
        <f>AVERAGE(U14:U15)</f>
        <v>2.2115384615384731E-3</v>
      </c>
      <c r="T23" s="157">
        <v>0</v>
      </c>
      <c r="AE23" s="4"/>
      <c r="AH23" s="690"/>
      <c r="AI23">
        <f>AVERAGE(AK14:AK15)</f>
        <v>3.5613636363636361E-2</v>
      </c>
      <c r="AJ23" s="157">
        <v>0</v>
      </c>
      <c r="AU23" s="4"/>
      <c r="AX23" s="690"/>
      <c r="AY23">
        <f>AVERAGE(BA14:BA15)</f>
        <v>1.2571428571428581E-2</v>
      </c>
      <c r="AZ23" s="157">
        <v>0</v>
      </c>
      <c r="BK23" s="4"/>
      <c r="BN23" s="690"/>
      <c r="BO23">
        <f>AVERAGE(BQ14:BQ15)</f>
        <v>1.1913043478260874E-2</v>
      </c>
      <c r="BP23" s="157">
        <v>0</v>
      </c>
      <c r="CA23" s="4"/>
      <c r="CD23" s="690"/>
      <c r="CE23" s="80">
        <f>AVERAGE(CG14:CG15)</f>
        <v>6.568181818181848E-3</v>
      </c>
      <c r="CF23" s="157">
        <v>0</v>
      </c>
      <c r="CQ23" s="4"/>
      <c r="CT23" s="690"/>
      <c r="CU23" s="80">
        <f>AVERAGE(CW14:CW15)</f>
        <v>0.80606818181818185</v>
      </c>
      <c r="CV23" s="157">
        <v>0</v>
      </c>
      <c r="DG23" s="4"/>
    </row>
    <row r="24" spans="2:111" x14ac:dyDescent="0.25">
      <c r="B24" s="690"/>
      <c r="C24" s="131">
        <f>AVERAGE(F14:F15)</f>
        <v>7.0630434782608706E-2</v>
      </c>
      <c r="D24" s="157">
        <v>2</v>
      </c>
      <c r="O24" s="4"/>
      <c r="R24" s="690"/>
      <c r="S24" s="131">
        <f>AVERAGE(V14:V15)</f>
        <v>8.821153846153848E-2</v>
      </c>
      <c r="T24" s="157">
        <v>2</v>
      </c>
      <c r="AE24" s="4"/>
      <c r="AH24" s="690"/>
      <c r="AI24">
        <f>AVERAGE(AL14:AL15)</f>
        <v>0.14911363636363636</v>
      </c>
      <c r="AJ24" s="157">
        <v>2</v>
      </c>
      <c r="AU24" s="4"/>
      <c r="AX24" s="690"/>
      <c r="AY24">
        <f>AVERAGE(BB14:BB15)</f>
        <v>0.13807142857142857</v>
      </c>
      <c r="AZ24" s="157">
        <v>2</v>
      </c>
      <c r="BK24" s="4"/>
      <c r="BN24" s="690"/>
      <c r="BO24">
        <f>AVERAGE(BR14:BR15)</f>
        <v>0.12941304347826088</v>
      </c>
      <c r="BP24" s="157">
        <v>2</v>
      </c>
      <c r="CA24" s="4"/>
      <c r="CD24" s="690"/>
      <c r="CE24" s="80">
        <f>AVERAGE(CH14:CH15)</f>
        <v>0.16806818181818184</v>
      </c>
      <c r="CF24" s="157">
        <v>2</v>
      </c>
      <c r="CQ24" s="4"/>
      <c r="CT24" s="690"/>
      <c r="CU24" s="80">
        <f>AVERAGE(CX14:CX15)</f>
        <v>0.97606818181818178</v>
      </c>
      <c r="CV24" s="157">
        <v>2</v>
      </c>
      <c r="DG24" s="4"/>
    </row>
    <row r="25" spans="2:111" x14ac:dyDescent="0.25">
      <c r="B25" s="690"/>
      <c r="C25" s="131">
        <f>AVERAGE(G14:G15)</f>
        <v>0.13663043478260872</v>
      </c>
      <c r="D25" s="157">
        <v>4</v>
      </c>
      <c r="O25" s="4"/>
      <c r="R25" s="690"/>
      <c r="S25" s="131">
        <f>AVERAGE(W14:W15)</f>
        <v>0.16871153846153847</v>
      </c>
      <c r="T25" s="157">
        <v>4</v>
      </c>
      <c r="AE25" s="4"/>
      <c r="AH25" s="690"/>
      <c r="AI25">
        <f>AVERAGE(AM14:AM15)</f>
        <v>0.28811363636363635</v>
      </c>
      <c r="AJ25" s="157">
        <v>4</v>
      </c>
      <c r="AU25" s="4"/>
      <c r="AX25" s="690"/>
      <c r="AY25">
        <f>AVERAGE(BC14:BC15)</f>
        <v>0.26307142857142857</v>
      </c>
      <c r="AZ25" s="157">
        <v>4</v>
      </c>
      <c r="BK25" s="4"/>
      <c r="BN25" s="690"/>
      <c r="BO25">
        <f>AVERAGE(BS14:BS15)</f>
        <v>0.23941304347826087</v>
      </c>
      <c r="BP25" s="157">
        <v>4</v>
      </c>
      <c r="CA25" s="4"/>
      <c r="CD25" s="690"/>
      <c r="CE25" s="80">
        <f>AVERAGE(CI14:CI15)</f>
        <v>0.3035681818181819</v>
      </c>
      <c r="CF25" s="157">
        <v>4</v>
      </c>
      <c r="CQ25" s="4"/>
      <c r="CT25" s="690"/>
      <c r="CU25" s="80">
        <f>AVERAGE(CY14:CY15)</f>
        <v>1.0480681818181818</v>
      </c>
      <c r="CV25" s="157">
        <v>4</v>
      </c>
      <c r="DG25" s="4"/>
    </row>
    <row r="26" spans="2:111" x14ac:dyDescent="0.25">
      <c r="B26" s="690"/>
      <c r="C26" s="131">
        <f>AVERAGE(H14:H15)</f>
        <v>0.39513043478260873</v>
      </c>
      <c r="D26" s="157">
        <v>8</v>
      </c>
      <c r="N26" t="s">
        <v>90</v>
      </c>
      <c r="O26" s="4">
        <v>20.861999999999998</v>
      </c>
      <c r="R26" s="690"/>
      <c r="S26" s="131">
        <f>AVERAGE(X14:X15)</f>
        <v>0.43021153846153848</v>
      </c>
      <c r="T26" s="157">
        <v>8</v>
      </c>
      <c r="AE26" s="4"/>
      <c r="AH26" s="690"/>
      <c r="AI26">
        <f>AVERAGE(AN14:AN15)</f>
        <v>0.53811363636363629</v>
      </c>
      <c r="AJ26" s="157">
        <v>8</v>
      </c>
      <c r="AU26" s="4"/>
      <c r="AX26" s="690"/>
      <c r="AY26">
        <f>AVERAGE(BD14:BD15)</f>
        <v>0.49557142857142861</v>
      </c>
      <c r="AZ26" s="157">
        <v>8</v>
      </c>
      <c r="BJ26" t="s">
        <v>90</v>
      </c>
      <c r="BK26" s="4">
        <v>25.254000000000001</v>
      </c>
      <c r="BN26" s="690"/>
      <c r="BO26">
        <f>AVERAGE(BT14:BT15)</f>
        <v>0.44791304347826089</v>
      </c>
      <c r="BP26" s="157">
        <v>8</v>
      </c>
      <c r="BZ26" t="s">
        <v>90</v>
      </c>
      <c r="CA26" s="4">
        <v>21.538</v>
      </c>
      <c r="CD26" s="690"/>
      <c r="CE26" s="80">
        <f>AVERAGE(CJ14:CJ15)</f>
        <v>0.54356818181818178</v>
      </c>
      <c r="CF26" s="157">
        <v>8</v>
      </c>
      <c r="CP26" t="s">
        <v>90</v>
      </c>
      <c r="CQ26" s="4">
        <v>20.667000000000002</v>
      </c>
      <c r="CT26" s="690"/>
      <c r="CU26" s="80">
        <f>AVERAGE(CZ14:CZ15)</f>
        <v>1.4000681818181819</v>
      </c>
      <c r="CV26" s="157">
        <v>8</v>
      </c>
      <c r="DF26" t="s">
        <v>90</v>
      </c>
      <c r="DG26" s="4">
        <v>15.555999999999999</v>
      </c>
    </row>
    <row r="27" spans="2:111" x14ac:dyDescent="0.25">
      <c r="B27" s="690"/>
      <c r="C27" s="131">
        <f>AVERAGE(I14:I15)</f>
        <v>0.48613043478260876</v>
      </c>
      <c r="D27" s="157">
        <v>12</v>
      </c>
      <c r="N27" t="s">
        <v>91</v>
      </c>
      <c r="O27" s="4">
        <v>0.99070000000000003</v>
      </c>
      <c r="R27" s="690"/>
      <c r="S27" s="131">
        <f>AVERAGE(Y14:Y15)</f>
        <v>0.61371153846153847</v>
      </c>
      <c r="T27" s="157">
        <v>12</v>
      </c>
      <c r="AD27" t="s">
        <v>90</v>
      </c>
      <c r="AE27" s="4">
        <v>21.7</v>
      </c>
      <c r="AH27" s="690"/>
      <c r="AI27">
        <f>AVERAGE(AO14:AO15)</f>
        <v>0.77361363636363634</v>
      </c>
      <c r="AJ27" s="157">
        <v>12</v>
      </c>
      <c r="AT27" t="s">
        <v>90</v>
      </c>
      <c r="AU27" s="4">
        <v>21.552</v>
      </c>
      <c r="AX27" s="690"/>
      <c r="AY27">
        <f>AVERAGE(BE14:BE15)</f>
        <v>0.72857142857142865</v>
      </c>
      <c r="AZ27" s="157">
        <v>12</v>
      </c>
      <c r="BJ27" t="s">
        <v>91</v>
      </c>
      <c r="BK27" s="4">
        <v>-4.0838000000000001</v>
      </c>
      <c r="BN27" s="690"/>
      <c r="BO27">
        <f>AVERAGE(BU14:BU15)</f>
        <v>0.66391304347826074</v>
      </c>
      <c r="BP27" s="157">
        <v>12</v>
      </c>
      <c r="BZ27" t="s">
        <v>91</v>
      </c>
      <c r="CA27" s="4">
        <v>-1.3272999999999999</v>
      </c>
      <c r="CD27" s="690"/>
      <c r="CE27" s="80">
        <f>AVERAGE(CK14:CK15)</f>
        <v>0.77456818181818177</v>
      </c>
      <c r="CF27" s="157">
        <v>12</v>
      </c>
      <c r="CP27" t="s">
        <v>91</v>
      </c>
      <c r="CQ27" s="4">
        <v>-2.4531999999999998</v>
      </c>
      <c r="CT27" s="690"/>
      <c r="CU27" s="80">
        <f>AVERAGE(DA14:DA15)</f>
        <v>1.7040681818181818</v>
      </c>
      <c r="CV27" s="157">
        <v>12</v>
      </c>
      <c r="DF27" t="s">
        <v>91</v>
      </c>
      <c r="DG27" s="4">
        <v>-13.192</v>
      </c>
    </row>
    <row r="28" spans="2:111" x14ac:dyDescent="0.25">
      <c r="B28" s="690"/>
      <c r="C28" s="131">
        <f>AVERAGE(J14:J15)</f>
        <v>0.8576304347826087</v>
      </c>
      <c r="D28" s="157">
        <v>16</v>
      </c>
      <c r="O28" s="4"/>
      <c r="R28" s="690"/>
      <c r="S28" s="131">
        <f>AVERAGE(Z14:Z15)</f>
        <v>0.77521153846153845</v>
      </c>
      <c r="T28" s="157">
        <v>16</v>
      </c>
      <c r="AD28" t="s">
        <v>91</v>
      </c>
      <c r="AE28" s="4">
        <v>-0.38369999999999999</v>
      </c>
      <c r="AH28" s="690"/>
      <c r="AI28">
        <f>AVERAGE(AP14:AP15)</f>
        <v>0.91961363636363636</v>
      </c>
      <c r="AJ28" s="157">
        <v>16</v>
      </c>
      <c r="AT28" t="s">
        <v>91</v>
      </c>
      <c r="AU28" s="4">
        <v>-2.7244000000000002</v>
      </c>
      <c r="AX28" s="690"/>
      <c r="AY28">
        <f>AVERAGE(BF14:BF15)</f>
        <v>0.87207142857142861</v>
      </c>
      <c r="AZ28" s="157">
        <v>16</v>
      </c>
      <c r="BK28" s="4"/>
      <c r="BN28" s="690"/>
      <c r="BO28">
        <f>AVERAGE(BV14:BV15)</f>
        <v>0.83241304347826084</v>
      </c>
      <c r="BP28" s="157">
        <v>16</v>
      </c>
      <c r="CA28" s="4"/>
      <c r="CD28" s="690"/>
      <c r="CE28" s="80">
        <f>AVERAGE(CL14:CL15)</f>
        <v>0.96756818181818183</v>
      </c>
      <c r="CF28" s="157">
        <v>16</v>
      </c>
      <c r="CQ28" s="4"/>
      <c r="CT28" s="690"/>
      <c r="CU28" s="80">
        <f>AVERAGE(DB14:DB15)</f>
        <v>1.9175681818181816</v>
      </c>
      <c r="CV28" s="157">
        <v>16</v>
      </c>
      <c r="DG28" s="4"/>
    </row>
    <row r="29" spans="2:111" x14ac:dyDescent="0.25">
      <c r="B29" s="690"/>
      <c r="C29" s="131">
        <f>AVERAGE(K14:K15)</f>
        <v>1.7211304347826086</v>
      </c>
      <c r="D29" s="157">
        <v>32</v>
      </c>
      <c r="O29" s="4"/>
      <c r="R29" s="690"/>
      <c r="S29" s="131">
        <f>AVERAGE(AA14:AA15)</f>
        <v>1.4557115384615384</v>
      </c>
      <c r="T29" s="157">
        <v>32</v>
      </c>
      <c r="AE29" s="4"/>
      <c r="AH29" s="690"/>
      <c r="AI29">
        <f>AVERAGE(AQ14:AQ15)</f>
        <v>1.7096136363636363</v>
      </c>
      <c r="AJ29" s="157">
        <v>32</v>
      </c>
      <c r="AU29" s="4"/>
      <c r="AX29" s="690"/>
      <c r="AY29">
        <f>AVERAGE(BG14:BG15)</f>
        <v>1.5945714285714285</v>
      </c>
      <c r="AZ29" s="157">
        <v>32</v>
      </c>
      <c r="BK29" s="4"/>
      <c r="BN29" s="690"/>
      <c r="BO29">
        <f>AVERAGE(BW14:BW15)</f>
        <v>1.5744130434782608</v>
      </c>
      <c r="BP29" s="157">
        <v>32</v>
      </c>
      <c r="CA29" s="4"/>
      <c r="CD29" s="690"/>
      <c r="CE29" s="80">
        <f>AVERAGE(CM14:CM15)</f>
        <v>1.7225681818181819</v>
      </c>
      <c r="CF29" s="157">
        <v>32</v>
      </c>
      <c r="CQ29" s="4"/>
      <c r="CT29" s="690"/>
      <c r="CU29" s="80">
        <f>AVERAGE(DC14:DC15)</f>
        <v>2.8410681818181818</v>
      </c>
      <c r="CV29" s="157">
        <v>32</v>
      </c>
      <c r="DG29" s="4"/>
    </row>
    <row r="30" spans="2:111" ht="15" customHeight="1" x14ac:dyDescent="0.25">
      <c r="B30" s="690"/>
      <c r="C30" s="131">
        <f>AVERAGE(L14:L15)</f>
        <v>2.9506304347826084</v>
      </c>
      <c r="D30" s="157">
        <v>64</v>
      </c>
      <c r="O30" s="4"/>
      <c r="R30" s="690"/>
      <c r="S30" s="131"/>
      <c r="T30" s="157">
        <v>64</v>
      </c>
      <c r="AE30" s="4"/>
      <c r="AH30" s="690"/>
      <c r="AI30">
        <f>AVERAGE(AR14:AR15)</f>
        <v>3.0006136363636364</v>
      </c>
      <c r="AJ30" s="157">
        <v>64</v>
      </c>
      <c r="AU30" s="4"/>
      <c r="AX30" s="690"/>
      <c r="AY30">
        <f>AVERAGE(BH14:BH15)</f>
        <v>2.9265714285714282</v>
      </c>
      <c r="AZ30" s="157">
        <v>64</v>
      </c>
      <c r="BK30" s="4"/>
      <c r="BN30" s="690"/>
      <c r="BO30">
        <f>AVERAGE(BX14:BX15)</f>
        <v>3.0009130434782607</v>
      </c>
      <c r="BP30" s="157">
        <v>64</v>
      </c>
      <c r="CA30" s="4"/>
      <c r="CD30" s="690"/>
      <c r="CE30" s="80">
        <f>AVERAGE(CN14:CN15)</f>
        <v>3.1405681818181819</v>
      </c>
      <c r="CF30" s="157">
        <v>64</v>
      </c>
      <c r="CQ30" s="4"/>
      <c r="CT30" s="690"/>
      <c r="CU30" s="80"/>
      <c r="CV30" s="157">
        <v>64</v>
      </c>
      <c r="DG30" s="4"/>
    </row>
    <row r="31" spans="2:111" x14ac:dyDescent="0.25">
      <c r="B31" s="690"/>
      <c r="C31" s="131"/>
      <c r="D31" s="157">
        <v>100</v>
      </c>
      <c r="O31" s="4"/>
      <c r="R31" s="690"/>
      <c r="S31" s="131"/>
      <c r="T31" s="157">
        <v>100</v>
      </c>
      <c r="AE31" s="4"/>
      <c r="AH31" s="690"/>
      <c r="AJ31" s="157">
        <v>100</v>
      </c>
      <c r="AU31" s="4"/>
      <c r="AX31" s="690"/>
      <c r="AY31" s="322"/>
      <c r="AZ31" s="157">
        <v>100</v>
      </c>
      <c r="BK31" s="4"/>
      <c r="BN31" s="690"/>
      <c r="BP31" s="157">
        <v>100</v>
      </c>
      <c r="CA31" s="4"/>
      <c r="CD31" s="690"/>
      <c r="CE31" s="80"/>
      <c r="CF31" s="157">
        <v>100</v>
      </c>
      <c r="CQ31" s="4"/>
      <c r="CT31" s="690"/>
      <c r="CU31" s="80"/>
      <c r="CV31" s="157">
        <v>100</v>
      </c>
      <c r="DG31" s="4"/>
    </row>
    <row r="32" spans="2:111" x14ac:dyDescent="0.25">
      <c r="B32" s="690"/>
      <c r="D32" s="157">
        <v>128</v>
      </c>
      <c r="O32" s="4"/>
      <c r="R32" s="690"/>
      <c r="T32" s="157">
        <v>128</v>
      </c>
      <c r="AE32" s="4"/>
      <c r="AH32" s="690"/>
      <c r="AJ32" s="157">
        <v>128</v>
      </c>
      <c r="AU32" s="4"/>
      <c r="AX32" s="690"/>
      <c r="AZ32" s="157">
        <v>128</v>
      </c>
      <c r="BK32" s="4"/>
      <c r="BN32" s="690"/>
      <c r="BP32" s="157">
        <v>128</v>
      </c>
      <c r="CA32" s="4"/>
      <c r="CD32" s="690"/>
      <c r="CE32" s="80"/>
      <c r="CF32" s="157">
        <v>128</v>
      </c>
      <c r="CQ32" s="4"/>
      <c r="CT32" s="690"/>
      <c r="CU32" s="80"/>
      <c r="CV32" s="157">
        <v>128</v>
      </c>
      <c r="DG32" s="4"/>
    </row>
    <row r="33" spans="2:111" x14ac:dyDescent="0.25">
      <c r="B33" s="690"/>
      <c r="O33" s="4"/>
      <c r="R33" s="690"/>
      <c r="AE33" s="4"/>
      <c r="AH33" s="690"/>
      <c r="AU33" s="4"/>
      <c r="AX33" s="690"/>
      <c r="BK33" s="4"/>
      <c r="BN33" s="690"/>
      <c r="CA33" s="4"/>
      <c r="CD33" s="690"/>
      <c r="CE33" s="80"/>
      <c r="CQ33" s="4"/>
      <c r="CT33" s="690"/>
      <c r="CU33" s="80"/>
      <c r="DG33" s="4"/>
    </row>
    <row r="34" spans="2:111" x14ac:dyDescent="0.25">
      <c r="B34" s="690"/>
      <c r="O34" s="4"/>
      <c r="R34" s="690"/>
      <c r="AE34" s="4"/>
      <c r="AH34" s="690"/>
      <c r="AU34" s="4"/>
      <c r="AX34" s="690"/>
      <c r="BK34" s="4"/>
      <c r="BN34" s="690"/>
      <c r="CA34" s="4"/>
      <c r="CD34" s="690"/>
      <c r="CE34" s="80"/>
      <c r="CQ34" s="4"/>
      <c r="CT34" s="690"/>
      <c r="CU34" s="80"/>
      <c r="DG34" s="4"/>
    </row>
    <row r="35" spans="2:111" ht="15.75" thickBot="1" x14ac:dyDescent="0.3">
      <c r="B35" s="69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R35" s="691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H35" s="691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7"/>
      <c r="AX35" s="691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7"/>
      <c r="BN35" s="691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7"/>
      <c r="CD35" s="691"/>
      <c r="CE35" s="81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7"/>
      <c r="CT35" s="691"/>
      <c r="CU35" s="81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7"/>
    </row>
    <row r="36" spans="2:111" ht="15" customHeight="1" x14ac:dyDescent="0.25">
      <c r="B36" s="689" t="s">
        <v>98</v>
      </c>
      <c r="C36" s="18"/>
      <c r="D36" s="19">
        <v>1</v>
      </c>
      <c r="E36" s="19">
        <v>2</v>
      </c>
      <c r="F36" s="19">
        <v>3</v>
      </c>
      <c r="G36" s="19">
        <v>4</v>
      </c>
      <c r="H36" s="19">
        <v>5</v>
      </c>
      <c r="I36" s="19">
        <v>6</v>
      </c>
      <c r="J36" s="19">
        <v>7</v>
      </c>
      <c r="K36" s="19">
        <v>8</v>
      </c>
      <c r="L36" s="19">
        <v>9</v>
      </c>
      <c r="M36" s="19">
        <v>10</v>
      </c>
      <c r="N36" s="19">
        <v>11</v>
      </c>
      <c r="O36" s="20">
        <v>12</v>
      </c>
      <c r="R36" s="689" t="s">
        <v>98</v>
      </c>
      <c r="S36" s="18"/>
      <c r="T36" s="19">
        <v>1</v>
      </c>
      <c r="U36" s="19">
        <v>2</v>
      </c>
      <c r="V36" s="19">
        <v>3</v>
      </c>
      <c r="W36" s="19">
        <v>4</v>
      </c>
      <c r="X36" s="19">
        <v>5</v>
      </c>
      <c r="Y36" s="19">
        <v>6</v>
      </c>
      <c r="Z36" s="19">
        <v>7</v>
      </c>
      <c r="AA36" s="19">
        <v>8</v>
      </c>
      <c r="AB36" s="19">
        <v>9</v>
      </c>
      <c r="AC36" s="19">
        <v>10</v>
      </c>
      <c r="AD36" s="19">
        <v>11</v>
      </c>
      <c r="AE36" s="20">
        <v>12</v>
      </c>
      <c r="AH36" s="689" t="s">
        <v>98</v>
      </c>
      <c r="AI36" s="18"/>
      <c r="AJ36" s="19">
        <v>1</v>
      </c>
      <c r="AK36" s="19">
        <v>2</v>
      </c>
      <c r="AL36" s="19">
        <v>3</v>
      </c>
      <c r="AM36" s="19">
        <v>4</v>
      </c>
      <c r="AN36" s="19">
        <v>5</v>
      </c>
      <c r="AO36" s="19">
        <v>6</v>
      </c>
      <c r="AP36" s="19">
        <v>7</v>
      </c>
      <c r="AQ36" s="19">
        <v>8</v>
      </c>
      <c r="AR36" s="19">
        <v>9</v>
      </c>
      <c r="AS36" s="19">
        <v>10</v>
      </c>
      <c r="AT36" s="19">
        <v>11</v>
      </c>
      <c r="AU36" s="20">
        <v>12</v>
      </c>
      <c r="AX36" s="689" t="s">
        <v>98</v>
      </c>
      <c r="AY36" s="18"/>
      <c r="AZ36" s="19">
        <v>1</v>
      </c>
      <c r="BA36" s="19">
        <v>2</v>
      </c>
      <c r="BB36" s="19">
        <v>3</v>
      </c>
      <c r="BC36" s="19">
        <v>4</v>
      </c>
      <c r="BD36" s="19">
        <v>5</v>
      </c>
      <c r="BE36" s="19">
        <v>6</v>
      </c>
      <c r="BF36" s="19">
        <v>7</v>
      </c>
      <c r="BG36" s="19">
        <v>8</v>
      </c>
      <c r="BH36" s="19">
        <v>9</v>
      </c>
      <c r="BI36" s="19">
        <v>10</v>
      </c>
      <c r="BJ36" s="19">
        <v>11</v>
      </c>
      <c r="BK36" s="20">
        <v>12</v>
      </c>
      <c r="BN36" s="690" t="s">
        <v>98</v>
      </c>
      <c r="BO36" s="18"/>
      <c r="BP36" s="19">
        <v>1</v>
      </c>
      <c r="BQ36" s="19">
        <v>2</v>
      </c>
      <c r="BR36" s="19">
        <v>3</v>
      </c>
      <c r="BS36" s="19">
        <v>4</v>
      </c>
      <c r="BT36" s="19">
        <v>5</v>
      </c>
      <c r="BU36" s="19">
        <v>6</v>
      </c>
      <c r="BV36" s="19">
        <v>7</v>
      </c>
      <c r="BW36" s="19">
        <v>8</v>
      </c>
      <c r="BX36" s="19">
        <v>9</v>
      </c>
      <c r="BY36" s="19">
        <v>10</v>
      </c>
      <c r="BZ36" s="19">
        <v>11</v>
      </c>
      <c r="CA36" s="20">
        <v>12</v>
      </c>
      <c r="CD36" s="690" t="s">
        <v>98</v>
      </c>
      <c r="CE36" s="18"/>
      <c r="CF36" s="19">
        <v>1</v>
      </c>
      <c r="CG36" s="19">
        <v>2</v>
      </c>
      <c r="CH36" s="19">
        <v>3</v>
      </c>
      <c r="CI36" s="19">
        <v>4</v>
      </c>
      <c r="CJ36" s="19">
        <v>5</v>
      </c>
      <c r="CK36" s="19">
        <v>6</v>
      </c>
      <c r="CL36" s="19">
        <v>7</v>
      </c>
      <c r="CM36" s="19">
        <v>8</v>
      </c>
      <c r="CN36" s="19">
        <v>9</v>
      </c>
      <c r="CO36" s="19">
        <v>10</v>
      </c>
      <c r="CP36" s="19">
        <v>11</v>
      </c>
      <c r="CQ36" s="20">
        <v>12</v>
      </c>
      <c r="CT36" s="690" t="s">
        <v>98</v>
      </c>
      <c r="CU36" s="18"/>
      <c r="CV36" s="19">
        <v>1</v>
      </c>
      <c r="CW36" s="19">
        <v>2</v>
      </c>
      <c r="CX36" s="19">
        <v>3</v>
      </c>
      <c r="CY36" s="19">
        <v>4</v>
      </c>
      <c r="CZ36" s="19">
        <v>5</v>
      </c>
      <c r="DA36" s="19">
        <v>6</v>
      </c>
      <c r="DB36" s="19">
        <v>7</v>
      </c>
      <c r="DC36" s="19">
        <v>8</v>
      </c>
      <c r="DD36" s="19">
        <v>9</v>
      </c>
      <c r="DE36" s="19">
        <v>10</v>
      </c>
      <c r="DF36" s="19">
        <v>11</v>
      </c>
      <c r="DG36" s="20">
        <v>12</v>
      </c>
    </row>
    <row r="37" spans="2:111" x14ac:dyDescent="0.25">
      <c r="B37" s="690"/>
      <c r="C37" s="10" t="s">
        <v>13</v>
      </c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R37" s="690"/>
      <c r="S37" s="10" t="s">
        <v>13</v>
      </c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23"/>
      <c r="AH37" s="690"/>
      <c r="AI37" s="10" t="s">
        <v>13</v>
      </c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6"/>
      <c r="AX37" s="690"/>
      <c r="AY37" s="10" t="s">
        <v>13</v>
      </c>
      <c r="AZ37" s="315"/>
      <c r="BA37" s="315"/>
      <c r="BB37" s="315"/>
      <c r="BC37" s="315"/>
      <c r="BD37" s="315"/>
      <c r="BE37" s="315"/>
      <c r="BF37" s="315"/>
      <c r="BG37" s="315"/>
      <c r="BH37" s="315"/>
      <c r="BI37" s="315"/>
      <c r="BJ37" s="315"/>
      <c r="BK37" s="316"/>
      <c r="BN37" s="690"/>
      <c r="BO37" s="10" t="s">
        <v>13</v>
      </c>
      <c r="BP37" s="315"/>
      <c r="BQ37" s="315"/>
      <c r="BR37" s="315"/>
      <c r="BS37" s="315"/>
      <c r="BT37" s="315"/>
      <c r="BU37" s="315"/>
      <c r="BV37" s="315"/>
      <c r="BW37" s="315"/>
      <c r="BX37" s="315"/>
      <c r="BY37" s="315"/>
      <c r="BZ37" s="315"/>
      <c r="CA37" s="316"/>
      <c r="CD37" s="690"/>
      <c r="CE37" s="10" t="s">
        <v>13</v>
      </c>
      <c r="CF37" s="315"/>
      <c r="CG37" s="315"/>
      <c r="CH37" s="315"/>
      <c r="CI37" s="315"/>
      <c r="CJ37" s="315"/>
      <c r="CK37" s="315"/>
      <c r="CL37" s="315"/>
      <c r="CM37" s="315"/>
      <c r="CN37" s="315"/>
      <c r="CO37" s="315"/>
      <c r="CP37" s="315"/>
      <c r="CQ37" s="316"/>
      <c r="CT37" s="690"/>
      <c r="CU37" s="10" t="s">
        <v>13</v>
      </c>
      <c r="CV37" s="315"/>
      <c r="CW37" s="315"/>
      <c r="CX37" s="315"/>
      <c r="CY37" s="315"/>
      <c r="CZ37" s="315"/>
      <c r="DA37" s="315"/>
      <c r="DB37" s="315"/>
      <c r="DC37" s="315"/>
      <c r="DD37" s="315"/>
      <c r="DE37" s="315"/>
      <c r="DF37" s="315"/>
      <c r="DG37" s="315"/>
    </row>
    <row r="38" spans="2:111" x14ac:dyDescent="0.25">
      <c r="B38" s="690"/>
      <c r="C38" s="10" t="s">
        <v>14</v>
      </c>
      <c r="D38" s="217"/>
      <c r="E38" s="217">
        <f t="shared" ref="E38:M38" si="26">E14*$O$26+$O$27</f>
        <v>0.97255913043478293</v>
      </c>
      <c r="F38" s="217">
        <f t="shared" si="26"/>
        <v>2.2034171304347829</v>
      </c>
      <c r="G38" s="217">
        <f t="shared" si="26"/>
        <v>3.8306531304347828</v>
      </c>
      <c r="H38" s="217">
        <f t="shared" si="26"/>
        <v>7.8778811304347833</v>
      </c>
      <c r="I38" s="217">
        <f t="shared" si="26"/>
        <v>9.1921871304347835</v>
      </c>
      <c r="J38" s="217">
        <f t="shared" si="26"/>
        <v>19.080775130434784</v>
      </c>
      <c r="K38" s="218">
        <f t="shared" si="26"/>
        <v>34.998481130434776</v>
      </c>
      <c r="L38" s="218">
        <f t="shared" si="26"/>
        <v>62.890975130434775</v>
      </c>
      <c r="M38" s="218">
        <f t="shared" si="26"/>
        <v>77.306617130434788</v>
      </c>
      <c r="N38" s="217"/>
      <c r="O38" s="217"/>
      <c r="R38" s="690"/>
      <c r="S38" s="10" t="s">
        <v>14</v>
      </c>
      <c r="T38" s="218"/>
      <c r="U38" s="218">
        <f t="shared" ref="U38:AD38" si="27">U14*$AE$27+$AE$28</f>
        <v>-0.71545961538461511</v>
      </c>
      <c r="V38" s="218">
        <f t="shared" si="27"/>
        <v>1.5630403846153851</v>
      </c>
      <c r="W38" s="218">
        <f t="shared" si="27"/>
        <v>3.4726403846153846</v>
      </c>
      <c r="X38" s="218">
        <f t="shared" si="27"/>
        <v>8.984440384615386</v>
      </c>
      <c r="Y38" s="218">
        <f t="shared" si="27"/>
        <v>11.393140384615384</v>
      </c>
      <c r="Z38" s="218">
        <f t="shared" si="27"/>
        <v>14.604740384615386</v>
      </c>
      <c r="AA38" s="218">
        <f t="shared" si="27"/>
        <v>30.380640384615386</v>
      </c>
      <c r="AB38" s="218">
        <f t="shared" si="27"/>
        <v>51.147540384615382</v>
      </c>
      <c r="AC38" s="218">
        <f t="shared" si="27"/>
        <v>71.892740384615379</v>
      </c>
      <c r="AD38" s="218" t="e">
        <f t="shared" si="27"/>
        <v>#VALUE!</v>
      </c>
      <c r="AE38" s="223"/>
      <c r="AH38" s="690"/>
      <c r="AI38" s="10" t="s">
        <v>14</v>
      </c>
      <c r="AJ38" s="315"/>
      <c r="AK38" s="315">
        <f t="shared" ref="AK38:AT43" si="28">AK14*$AU$27+$AU$28</f>
        <v>-1.1271029090909095</v>
      </c>
      <c r="AL38" s="315">
        <f t="shared" si="28"/>
        <v>0.44619309090909054</v>
      </c>
      <c r="AM38" s="315">
        <f t="shared" si="28"/>
        <v>3.42036909090909</v>
      </c>
      <c r="AN38" s="315">
        <f t="shared" si="28"/>
        <v>9.2609610909090883</v>
      </c>
      <c r="AO38" s="315">
        <f t="shared" si="28"/>
        <v>14.110161090909092</v>
      </c>
      <c r="AP38" s="315">
        <f t="shared" si="28"/>
        <v>18.33435309090909</v>
      </c>
      <c r="AQ38" s="315">
        <f t="shared" si="28"/>
        <v>34.864737090909088</v>
      </c>
      <c r="AR38" s="315">
        <f t="shared" si="28"/>
        <v>64.671153090909087</v>
      </c>
      <c r="AS38" s="315">
        <f t="shared" si="28"/>
        <v>-2.7244000000000002</v>
      </c>
      <c r="AT38" s="315">
        <f t="shared" si="28"/>
        <v>-2.7244000000000002</v>
      </c>
      <c r="AU38" s="316"/>
      <c r="AX38" s="690"/>
      <c r="AY38" s="10" t="s">
        <v>14</v>
      </c>
      <c r="AZ38" s="315"/>
      <c r="BA38" s="315">
        <f t="shared" ref="BA38:BI43" si="29">BA14*$BK$26+$BK$27</f>
        <v>-3.7663211428571426</v>
      </c>
      <c r="BB38" s="315">
        <f t="shared" si="29"/>
        <v>-0.55906314285714265</v>
      </c>
      <c r="BC38" s="315">
        <f t="shared" si="29"/>
        <v>2.7997188571428575</v>
      </c>
      <c r="BD38" s="315">
        <f t="shared" si="29"/>
        <v>8.5071228571428588</v>
      </c>
      <c r="BE38" s="315">
        <f t="shared" si="29"/>
        <v>14.492320857142861</v>
      </c>
      <c r="BF38" s="315">
        <f t="shared" si="29"/>
        <v>19.214818857142859</v>
      </c>
      <c r="BG38" s="315">
        <f t="shared" si="29"/>
        <v>36.084490857142853</v>
      </c>
      <c r="BH38" s="315">
        <f t="shared" si="29"/>
        <v>72.197710857142866</v>
      </c>
      <c r="BI38" s="315"/>
      <c r="BJ38" s="315"/>
      <c r="BK38" s="316"/>
      <c r="BN38" s="690"/>
      <c r="BO38" s="10" t="s">
        <v>14</v>
      </c>
      <c r="BP38" s="315"/>
      <c r="BQ38" s="315">
        <f>BQ14*$CA$26+$CA$27</f>
        <v>-1.1245618695652173</v>
      </c>
      <c r="BR38" s="315">
        <f t="shared" ref="BR38:BX38" si="30">BR14*$CA$26+$CA$27</f>
        <v>1.6107641304347833</v>
      </c>
      <c r="BS38" s="315">
        <f t="shared" si="30"/>
        <v>3.9584061304347822</v>
      </c>
      <c r="BT38" s="315">
        <f t="shared" si="30"/>
        <v>8.7183041304347846</v>
      </c>
      <c r="BU38" s="315">
        <f t="shared" si="30"/>
        <v>13.327436130434782</v>
      </c>
      <c r="BV38" s="315">
        <f t="shared" si="30"/>
        <v>17.376580130434782</v>
      </c>
      <c r="BW38" s="315">
        <f t="shared" si="30"/>
        <v>33.680846130434787</v>
      </c>
      <c r="BX38" s="315">
        <f t="shared" si="30"/>
        <v>65.061712130434785</v>
      </c>
      <c r="BY38" s="315"/>
      <c r="BZ38" s="315"/>
      <c r="CA38" s="316"/>
      <c r="CD38" s="690"/>
      <c r="CE38" s="10" t="s">
        <v>14</v>
      </c>
      <c r="CF38" s="315"/>
      <c r="CG38" s="315">
        <f>CG14*$CQ$26+$CQ$27</f>
        <v>-2.3587893863636356</v>
      </c>
      <c r="CH38" s="315">
        <f t="shared" ref="CH38:CP38" si="31">CH14*$CQ$26+$CQ$27</f>
        <v>1.0719326136363647</v>
      </c>
      <c r="CI38" s="315">
        <f t="shared" si="31"/>
        <v>4.2133166136363656</v>
      </c>
      <c r="CJ38" s="315">
        <f t="shared" si="31"/>
        <v>9.2973986136363642</v>
      </c>
      <c r="CK38" s="315">
        <f t="shared" si="31"/>
        <v>14.236811613636366</v>
      </c>
      <c r="CL38" s="315">
        <f t="shared" si="31"/>
        <v>18.783551613636369</v>
      </c>
      <c r="CM38" s="315">
        <f t="shared" si="31"/>
        <v>34.841810613636369</v>
      </c>
      <c r="CN38" s="315">
        <f t="shared" si="31"/>
        <v>65.015630613636361</v>
      </c>
      <c r="CO38" s="315" t="e">
        <f t="shared" si="31"/>
        <v>#VALUE!</v>
      </c>
      <c r="CP38" s="315" t="e">
        <f t="shared" si="31"/>
        <v>#VALUE!</v>
      </c>
      <c r="CQ38" s="316"/>
      <c r="CT38" s="690"/>
      <c r="CU38" s="10" t="s">
        <v>14</v>
      </c>
      <c r="CV38" s="315"/>
      <c r="CW38" s="315">
        <f t="shared" ref="CW38:DF43" si="32">CW14*$DG$26+$DG$27</f>
        <v>-0.38057336363636374</v>
      </c>
      <c r="CX38" s="315">
        <f t="shared" si="32"/>
        <v>1.3772546363636344</v>
      </c>
      <c r="CY38" s="315">
        <f t="shared" si="32"/>
        <v>5.4684826363636354</v>
      </c>
      <c r="CZ38" s="315">
        <f t="shared" si="32"/>
        <v>10.539738636363637</v>
      </c>
      <c r="DA38" s="315">
        <f t="shared" si="32"/>
        <v>15.377654636363634</v>
      </c>
      <c r="DB38" s="315">
        <f t="shared" si="32"/>
        <v>18.395518636363629</v>
      </c>
      <c r="DC38" s="315">
        <f t="shared" si="32"/>
        <v>34.231526636363633</v>
      </c>
      <c r="DD38" s="315"/>
      <c r="DE38" s="315"/>
      <c r="DF38" s="315"/>
      <c r="DG38" s="315"/>
    </row>
    <row r="39" spans="2:111" x14ac:dyDescent="0.25">
      <c r="B39" s="690"/>
      <c r="C39" s="10" t="s">
        <v>15</v>
      </c>
      <c r="D39" s="217"/>
      <c r="E39" s="217">
        <f t="shared" ref="E39:M39" si="33">E15*$O$26+$O$27</f>
        <v>1.2020411304347829</v>
      </c>
      <c r="F39" s="217">
        <f t="shared" si="33"/>
        <v>2.7249671304347824</v>
      </c>
      <c r="G39" s="217">
        <f t="shared" si="33"/>
        <v>3.851515130434783</v>
      </c>
      <c r="H39" s="218">
        <f t="shared" si="33"/>
        <v>10.589941130434783</v>
      </c>
      <c r="I39" s="217">
        <f t="shared" si="33"/>
        <v>13.072519130434783</v>
      </c>
      <c r="J39" s="217">
        <f t="shared" si="33"/>
        <v>18.684397130434782</v>
      </c>
      <c r="K39" s="218">
        <f t="shared" si="33"/>
        <v>38.795365130434774</v>
      </c>
      <c r="L39" s="218">
        <f t="shared" si="33"/>
        <v>62.202529130434776</v>
      </c>
      <c r="M39" s="218">
        <f t="shared" si="33"/>
        <v>76.868515130434773</v>
      </c>
      <c r="N39" s="217"/>
      <c r="O39" s="217"/>
      <c r="R39" s="690"/>
      <c r="S39" s="10" t="s">
        <v>15</v>
      </c>
      <c r="T39" s="218"/>
      <c r="U39" s="218">
        <f t="shared" ref="U39:AD39" si="34">U15*$AE$27+$AE$28</f>
        <v>4.4040384615384898E-2</v>
      </c>
      <c r="V39" s="218">
        <f t="shared" si="34"/>
        <v>1.4979403846153849</v>
      </c>
      <c r="W39" s="218">
        <f t="shared" si="34"/>
        <v>3.0820403846153845</v>
      </c>
      <c r="X39" s="218">
        <f t="shared" si="34"/>
        <v>8.9193403846153849</v>
      </c>
      <c r="Y39" s="218">
        <f t="shared" si="34"/>
        <v>14.474540384615386</v>
      </c>
      <c r="Z39" s="218">
        <f t="shared" si="34"/>
        <v>18.27204038461538</v>
      </c>
      <c r="AA39" s="218">
        <f t="shared" si="34"/>
        <v>32.029840384615383</v>
      </c>
      <c r="AB39" s="218">
        <f t="shared" si="34"/>
        <v>53.96854038461538</v>
      </c>
      <c r="AC39" s="218">
        <f t="shared" si="34"/>
        <v>75.212840384615376</v>
      </c>
      <c r="AD39" s="222">
        <f t="shared" si="34"/>
        <v>82.85124038461538</v>
      </c>
      <c r="AE39" s="223"/>
      <c r="AH39" s="690"/>
      <c r="AI39" s="10" t="s">
        <v>15</v>
      </c>
      <c r="AJ39" s="315"/>
      <c r="AK39" s="315">
        <f t="shared" si="28"/>
        <v>-2.7866069090909091</v>
      </c>
      <c r="AL39" s="315">
        <f t="shared" si="28"/>
        <v>0.5324010909090906</v>
      </c>
      <c r="AM39" s="315">
        <f t="shared" si="28"/>
        <v>3.5496810909090906</v>
      </c>
      <c r="AN39" s="315">
        <f t="shared" si="28"/>
        <v>8.4850890909090886</v>
      </c>
      <c r="AO39" s="315">
        <f t="shared" si="28"/>
        <v>13.786881090909091</v>
      </c>
      <c r="AP39" s="315">
        <f t="shared" si="28"/>
        <v>15.855873090909093</v>
      </c>
      <c r="AQ39" s="315">
        <f t="shared" si="28"/>
        <v>33.377649090909088</v>
      </c>
      <c r="AR39" s="315">
        <f t="shared" si="28"/>
        <v>59.218497090909089</v>
      </c>
      <c r="AS39" s="315">
        <f t="shared" si="28"/>
        <v>-2.7244000000000002</v>
      </c>
      <c r="AT39" s="315">
        <f t="shared" si="28"/>
        <v>-2.7244000000000002</v>
      </c>
      <c r="AU39" s="316"/>
      <c r="AX39" s="690"/>
      <c r="AY39" s="10" t="s">
        <v>15</v>
      </c>
      <c r="AZ39" s="315"/>
      <c r="BA39" s="315">
        <f t="shared" si="29"/>
        <v>-3.7663211428571426</v>
      </c>
      <c r="BB39" s="315">
        <f t="shared" si="29"/>
        <v>-0.63482514285714275</v>
      </c>
      <c r="BC39" s="315">
        <f t="shared" si="29"/>
        <v>2.3198928571428574</v>
      </c>
      <c r="BD39" s="315">
        <f t="shared" si="29"/>
        <v>8.3555988571428585</v>
      </c>
      <c r="BE39" s="315">
        <f t="shared" si="29"/>
        <v>14.13876485714286</v>
      </c>
      <c r="BF39" s="315">
        <f t="shared" si="29"/>
        <v>16.664164857142861</v>
      </c>
      <c r="BG39" s="315">
        <f t="shared" si="29"/>
        <v>36.286522857142856</v>
      </c>
      <c r="BH39" s="315">
        <f t="shared" si="29"/>
        <v>67.44995885714286</v>
      </c>
      <c r="BI39" s="315">
        <f t="shared" si="29"/>
        <v>93.108022857142856</v>
      </c>
      <c r="BJ39" s="315"/>
      <c r="BK39" s="316"/>
      <c r="BN39" s="690"/>
      <c r="BO39" s="10" t="s">
        <v>15</v>
      </c>
      <c r="BP39" s="315"/>
      <c r="BQ39" s="315">
        <f t="shared" ref="BQ39:BZ43" si="35">BQ15*$CA$26+$CA$27</f>
        <v>-1.0168718695652172</v>
      </c>
      <c r="BR39" s="315">
        <f t="shared" si="35"/>
        <v>1.3092321304347825</v>
      </c>
      <c r="BS39" s="315">
        <f t="shared" si="35"/>
        <v>3.6999501304347824</v>
      </c>
      <c r="BT39" s="315">
        <f t="shared" si="35"/>
        <v>7.921398130434782</v>
      </c>
      <c r="BU39" s="315">
        <f t="shared" si="35"/>
        <v>12.616682130434782</v>
      </c>
      <c r="BV39" s="315">
        <f t="shared" si="35"/>
        <v>15.825844130434783</v>
      </c>
      <c r="BW39" s="315">
        <f t="shared" si="35"/>
        <v>31.483970130434784</v>
      </c>
      <c r="BX39" s="315">
        <f t="shared" si="35"/>
        <v>61.551018130434784</v>
      </c>
      <c r="BY39" s="315"/>
      <c r="BZ39" s="315"/>
      <c r="CA39" s="316"/>
      <c r="CD39" s="690"/>
      <c r="CE39" s="10" t="s">
        <v>15</v>
      </c>
      <c r="CF39" s="315"/>
      <c r="CG39" s="315">
        <f t="shared" ref="CG39:CP43" si="36">CG15*$CQ$26+$CQ$27</f>
        <v>-2.2761213863636356</v>
      </c>
      <c r="CH39" s="315">
        <f t="shared" si="36"/>
        <v>0.96859761363636432</v>
      </c>
      <c r="CI39" s="315">
        <f t="shared" si="36"/>
        <v>3.4279706136363659</v>
      </c>
      <c r="CJ39" s="315">
        <f t="shared" si="36"/>
        <v>8.264048613636362</v>
      </c>
      <c r="CK39" s="315">
        <f t="shared" si="36"/>
        <v>12.872789613636364</v>
      </c>
      <c r="CL39" s="315">
        <f t="shared" si="36"/>
        <v>16.303511613636367</v>
      </c>
      <c r="CM39" s="315">
        <f t="shared" si="36"/>
        <v>31.452422613636369</v>
      </c>
      <c r="CN39" s="315">
        <f t="shared" si="36"/>
        <v>59.890214613636367</v>
      </c>
      <c r="CO39" s="315" t="e">
        <f t="shared" si="36"/>
        <v>#VALUE!</v>
      </c>
      <c r="CP39" s="315" t="e">
        <f t="shared" si="36"/>
        <v>#VALUE!</v>
      </c>
      <c r="CQ39" s="316"/>
      <c r="CT39" s="690"/>
      <c r="CU39" s="10" t="s">
        <v>15</v>
      </c>
      <c r="CV39" s="315"/>
      <c r="CW39" s="315">
        <f t="shared" si="32"/>
        <v>-0.92503336363636457</v>
      </c>
      <c r="CX39" s="315">
        <f t="shared" si="32"/>
        <v>2.6061786363636354</v>
      </c>
      <c r="CY39" s="315">
        <f t="shared" si="32"/>
        <v>0.75501463636363475</v>
      </c>
      <c r="CZ39" s="315">
        <f t="shared" si="32"/>
        <v>6.6351826363636377</v>
      </c>
      <c r="DA39" s="315">
        <f t="shared" si="32"/>
        <v>11.255314636363636</v>
      </c>
      <c r="DB39" s="315">
        <f t="shared" si="32"/>
        <v>14.879862636363633</v>
      </c>
      <c r="DC39" s="315">
        <f t="shared" si="32"/>
        <v>27.775786636363634</v>
      </c>
      <c r="DD39" s="315"/>
      <c r="DE39" s="315"/>
      <c r="DF39" s="315"/>
      <c r="DG39" s="315"/>
    </row>
    <row r="40" spans="2:111" x14ac:dyDescent="0.25">
      <c r="B40" s="690"/>
      <c r="C40" s="10" t="s">
        <v>16</v>
      </c>
      <c r="D40" s="217"/>
      <c r="E40" s="217">
        <f t="shared" ref="E40:M40" si="37">E16*$O$26+$O$27</f>
        <v>34.685551130434781</v>
      </c>
      <c r="F40" s="218">
        <f t="shared" si="37"/>
        <v>32.161249130434783</v>
      </c>
      <c r="G40" s="218">
        <f t="shared" si="37"/>
        <v>37.251577130434775</v>
      </c>
      <c r="H40" s="218">
        <f t="shared" si="37"/>
        <v>26.904025130434782</v>
      </c>
      <c r="I40" s="217">
        <f t="shared" si="37"/>
        <v>41.632597130434775</v>
      </c>
      <c r="J40" s="217">
        <f t="shared" si="37"/>
        <v>31.869181130434782</v>
      </c>
      <c r="K40" s="218">
        <f t="shared" si="37"/>
        <v>31.514527130434779</v>
      </c>
      <c r="L40" s="218">
        <f t="shared" si="37"/>
        <v>35.332273130434778</v>
      </c>
      <c r="M40" s="218">
        <f t="shared" si="37"/>
        <v>30.554875130434784</v>
      </c>
      <c r="N40" s="217"/>
      <c r="O40" s="217"/>
      <c r="R40" s="690"/>
      <c r="S40" s="10" t="s">
        <v>16</v>
      </c>
      <c r="T40" s="218"/>
      <c r="U40" s="218">
        <f t="shared" ref="U40:Z40" si="38">U16*$AE$27+$AE$28</f>
        <v>45.874440384615376</v>
      </c>
      <c r="V40" s="218">
        <f t="shared" si="38"/>
        <v>40.688140384615387</v>
      </c>
      <c r="W40" s="218">
        <f t="shared" si="38"/>
        <v>43.856340384615379</v>
      </c>
      <c r="X40" s="218">
        <f t="shared" si="38"/>
        <v>47.979340384615377</v>
      </c>
      <c r="Y40" s="218">
        <f t="shared" si="38"/>
        <v>51.082440384615381</v>
      </c>
      <c r="Z40" s="218">
        <f t="shared" si="38"/>
        <v>63.342940384615382</v>
      </c>
      <c r="AA40" s="218"/>
      <c r="AB40" s="218"/>
      <c r="AC40" s="218"/>
      <c r="AD40" s="218"/>
      <c r="AE40" s="223"/>
      <c r="AH40" s="690"/>
      <c r="AI40" s="10" t="s">
        <v>16</v>
      </c>
      <c r="AJ40" s="315"/>
      <c r="AK40" s="315">
        <f t="shared" si="28"/>
        <v>53.852049090909091</v>
      </c>
      <c r="AL40" s="315">
        <f t="shared" si="28"/>
        <v>38.593233090909088</v>
      </c>
      <c r="AM40" s="315">
        <f t="shared" si="28"/>
        <v>47.343345090909096</v>
      </c>
      <c r="AN40" s="315">
        <f t="shared" si="28"/>
        <v>41.481201090909089</v>
      </c>
      <c r="AO40" s="315">
        <f t="shared" si="28"/>
        <v>41.847585090909085</v>
      </c>
      <c r="AP40" s="315">
        <f t="shared" si="28"/>
        <v>40.791537090909088</v>
      </c>
      <c r="AQ40" s="315">
        <f t="shared" si="28"/>
        <v>38.377713090909083</v>
      </c>
      <c r="AR40" s="315">
        <f t="shared" si="28"/>
        <v>38.593233090909088</v>
      </c>
      <c r="AS40" s="315">
        <f t="shared" si="28"/>
        <v>40.985505090909093</v>
      </c>
      <c r="AT40" s="315">
        <f t="shared" si="28"/>
        <v>41.093265090909092</v>
      </c>
      <c r="AU40" s="316"/>
      <c r="AX40" s="690"/>
      <c r="AY40" s="10" t="s">
        <v>16</v>
      </c>
      <c r="AZ40" s="315"/>
      <c r="BA40" s="315">
        <f t="shared" si="29"/>
        <v>39.190732857142862</v>
      </c>
      <c r="BB40" s="315">
        <f t="shared" si="29"/>
        <v>39.54428885714286</v>
      </c>
      <c r="BC40" s="315">
        <f t="shared" si="29"/>
        <v>38.054302857142858</v>
      </c>
      <c r="BD40" s="315">
        <f t="shared" si="29"/>
        <v>33.533836857142859</v>
      </c>
      <c r="BE40" s="315">
        <f t="shared" si="29"/>
        <v>36.665332857142857</v>
      </c>
      <c r="BF40" s="315">
        <f t="shared" si="29"/>
        <v>35.680426857142862</v>
      </c>
      <c r="BG40" s="315">
        <f t="shared" si="29"/>
        <v>40.428178857142868</v>
      </c>
      <c r="BH40" s="315">
        <f t="shared" si="29"/>
        <v>39.796828857142856</v>
      </c>
      <c r="BI40" s="315"/>
      <c r="BJ40" s="315"/>
      <c r="BK40" s="316"/>
      <c r="BN40" s="690"/>
      <c r="BO40" s="10" t="s">
        <v>16</v>
      </c>
      <c r="BP40" s="315"/>
      <c r="BQ40" s="315">
        <f t="shared" si="35"/>
        <v>32.603946130434785</v>
      </c>
      <c r="BR40" s="315">
        <f t="shared" si="35"/>
        <v>38.936118130434785</v>
      </c>
      <c r="BS40" s="315">
        <f t="shared" si="35"/>
        <v>36.43771013043478</v>
      </c>
      <c r="BT40" s="315">
        <f t="shared" si="35"/>
        <v>38.03152213043478</v>
      </c>
      <c r="BU40" s="315">
        <f t="shared" si="35"/>
        <v>39.711486130434785</v>
      </c>
      <c r="BV40" s="315">
        <f t="shared" si="35"/>
        <v>39.173036130434781</v>
      </c>
      <c r="BW40" s="315">
        <f t="shared" si="35"/>
        <v>44.105238130434785</v>
      </c>
      <c r="BX40" s="315">
        <f t="shared" si="35"/>
        <v>46.129810130434784</v>
      </c>
      <c r="BY40" s="315">
        <f t="shared" si="35"/>
        <v>47.637470130434785</v>
      </c>
      <c r="BZ40" s="315">
        <f t="shared" si="35"/>
        <v>41.714520130434778</v>
      </c>
      <c r="CA40" s="316"/>
      <c r="CD40" s="690"/>
      <c r="CE40" s="10" t="s">
        <v>16</v>
      </c>
      <c r="CF40" s="315"/>
      <c r="CG40" s="315">
        <f t="shared" si="36"/>
        <v>35.110481613636367</v>
      </c>
      <c r="CH40" s="315">
        <f t="shared" si="36"/>
        <v>47.593349613636363</v>
      </c>
      <c r="CI40" s="315">
        <f t="shared" si="36"/>
        <v>43.35661461363636</v>
      </c>
      <c r="CJ40" s="315">
        <f t="shared" si="36"/>
        <v>19.486229613636368</v>
      </c>
      <c r="CK40" s="315">
        <f t="shared" si="36"/>
        <v>31.88642961363637</v>
      </c>
      <c r="CL40" s="315">
        <f t="shared" si="36"/>
        <v>33.601790613636368</v>
      </c>
      <c r="CM40" s="315">
        <f t="shared" si="36"/>
        <v>24.239639613636367</v>
      </c>
      <c r="CN40" s="315"/>
      <c r="CO40" s="315"/>
      <c r="CP40" s="315"/>
      <c r="CQ40" s="316"/>
      <c r="CT40" s="690"/>
      <c r="CU40" s="10" t="s">
        <v>16</v>
      </c>
      <c r="CV40" s="315"/>
      <c r="CW40" s="315">
        <f t="shared" si="32"/>
        <v>29.782510636363632</v>
      </c>
      <c r="CX40" s="315">
        <f t="shared" si="32"/>
        <v>28.289134636363634</v>
      </c>
      <c r="CY40" s="315">
        <f t="shared" si="32"/>
        <v>26.780202636363633</v>
      </c>
      <c r="CZ40" s="315">
        <f t="shared" si="32"/>
        <v>24.073458636363632</v>
      </c>
      <c r="DA40" s="315">
        <f t="shared" si="32"/>
        <v>28.366914636363632</v>
      </c>
      <c r="DB40" s="315">
        <f t="shared" si="32"/>
        <v>26.966874636363634</v>
      </c>
      <c r="DC40" s="315">
        <f t="shared" si="32"/>
        <v>26.982430636363631</v>
      </c>
      <c r="DD40" s="315">
        <f t="shared" si="32"/>
        <v>28.880262636363632</v>
      </c>
      <c r="DE40" s="315">
        <f t="shared" si="32"/>
        <v>28.740258636363627</v>
      </c>
      <c r="DF40" s="315">
        <f t="shared" si="32"/>
        <v>30.062518636363627</v>
      </c>
      <c r="DG40" s="315"/>
    </row>
    <row r="41" spans="2:111" x14ac:dyDescent="0.25">
      <c r="B41" s="690"/>
      <c r="C41" s="10" t="s">
        <v>17</v>
      </c>
      <c r="D41" s="217"/>
      <c r="E41" s="217">
        <f t="shared" ref="E41:M41" si="39">E17*$O$26+$O$27</f>
        <v>30.888667130434783</v>
      </c>
      <c r="F41" s="218">
        <f t="shared" si="39"/>
        <v>27.446437130434784</v>
      </c>
      <c r="G41" s="218">
        <f t="shared" si="39"/>
        <v>27.070921130434783</v>
      </c>
      <c r="H41" s="218">
        <f t="shared" si="39"/>
        <v>25.777477130434782</v>
      </c>
      <c r="I41" s="217">
        <f t="shared" si="39"/>
        <v>40.026223130434779</v>
      </c>
      <c r="J41" s="217">
        <f t="shared" si="39"/>
        <v>31.368493130434782</v>
      </c>
      <c r="K41" s="218">
        <f t="shared" si="39"/>
        <v>32.641075130434778</v>
      </c>
      <c r="L41" s="218">
        <f t="shared" si="39"/>
        <v>33.600727130434777</v>
      </c>
      <c r="M41" s="218">
        <f t="shared" si="39"/>
        <v>26.904025130434782</v>
      </c>
      <c r="N41" s="217"/>
      <c r="O41" s="217"/>
      <c r="R41" s="690"/>
      <c r="S41" s="10" t="s">
        <v>17</v>
      </c>
      <c r="T41" s="218"/>
      <c r="U41" s="218">
        <f t="shared" ref="U41:Z41" si="40">U17*$AE$27+$AE$28</f>
        <v>43.92144038461538</v>
      </c>
      <c r="V41" s="218">
        <f t="shared" si="40"/>
        <v>37.910540384615388</v>
      </c>
      <c r="W41" s="218">
        <f t="shared" si="40"/>
        <v>40.840040384615392</v>
      </c>
      <c r="X41" s="218">
        <f t="shared" si="40"/>
        <v>42.879840384615385</v>
      </c>
      <c r="Y41" s="218">
        <f t="shared" si="40"/>
        <v>47.501940384615381</v>
      </c>
      <c r="Z41" s="218">
        <f t="shared" si="40"/>
        <v>62.388140384615383</v>
      </c>
      <c r="AA41" s="218"/>
      <c r="AB41" s="218"/>
      <c r="AC41" s="218"/>
      <c r="AD41" s="218"/>
      <c r="AE41" s="223"/>
      <c r="AH41" s="690"/>
      <c r="AI41" s="10" t="s">
        <v>17</v>
      </c>
      <c r="AJ41" s="315"/>
      <c r="AK41" s="315">
        <f t="shared" si="28"/>
        <v>48.78732909090909</v>
      </c>
      <c r="AL41" s="315">
        <f t="shared" si="28"/>
        <v>37.644945090909083</v>
      </c>
      <c r="AM41" s="315">
        <f t="shared" si="28"/>
        <v>36.998385090909082</v>
      </c>
      <c r="AN41" s="315">
        <f t="shared" si="28"/>
        <v>38.226849090909091</v>
      </c>
      <c r="AO41" s="315">
        <f t="shared" si="28"/>
        <v>32.537121090909089</v>
      </c>
      <c r="AP41" s="315">
        <f t="shared" si="28"/>
        <v>39.821697090909083</v>
      </c>
      <c r="AQ41" s="315">
        <f t="shared" si="28"/>
        <v>40.446705090909084</v>
      </c>
      <c r="AR41" s="315">
        <f t="shared" si="28"/>
        <v>39.132033090909083</v>
      </c>
      <c r="AS41" s="315">
        <f t="shared" si="28"/>
        <v>40.61912109090909</v>
      </c>
      <c r="AT41" s="315">
        <f t="shared" si="28"/>
        <v>42.235521090909089</v>
      </c>
      <c r="AU41" s="316"/>
      <c r="AX41" s="690"/>
      <c r="AY41" s="10" t="s">
        <v>17</v>
      </c>
      <c r="AZ41" s="315"/>
      <c r="BA41" s="315">
        <f t="shared" si="29"/>
        <v>39.468526857142862</v>
      </c>
      <c r="BB41" s="315">
        <f t="shared" si="29"/>
        <v>39.569542857142864</v>
      </c>
      <c r="BC41" s="315">
        <f t="shared" si="29"/>
        <v>37.726000857142864</v>
      </c>
      <c r="BD41" s="315">
        <f t="shared" si="29"/>
        <v>33.458074857142861</v>
      </c>
      <c r="BE41" s="315">
        <f t="shared" si="29"/>
        <v>34.114678857142863</v>
      </c>
      <c r="BF41" s="315">
        <f t="shared" si="29"/>
        <v>35.402632857142862</v>
      </c>
      <c r="BG41" s="315">
        <f t="shared" si="29"/>
        <v>40.175638857142857</v>
      </c>
      <c r="BH41" s="315">
        <f t="shared" si="29"/>
        <v>39.215986857142866</v>
      </c>
      <c r="BI41" s="315"/>
      <c r="BJ41" s="315"/>
      <c r="BK41" s="316"/>
      <c r="BN41" s="690"/>
      <c r="BO41" s="10" t="s">
        <v>17</v>
      </c>
      <c r="BP41" s="315"/>
      <c r="BQ41" s="315">
        <f t="shared" si="35"/>
        <v>32.280876130434784</v>
      </c>
      <c r="BR41" s="315">
        <f t="shared" si="35"/>
        <v>38.763814130434781</v>
      </c>
      <c r="BS41" s="315">
        <f t="shared" si="35"/>
        <v>35.231582130434788</v>
      </c>
      <c r="BT41" s="315">
        <f t="shared" si="35"/>
        <v>39.280726130434786</v>
      </c>
      <c r="BU41" s="315">
        <f t="shared" si="35"/>
        <v>40.917614130434778</v>
      </c>
      <c r="BV41" s="315">
        <f t="shared" si="35"/>
        <v>40.637620130434783</v>
      </c>
      <c r="BW41" s="315">
        <f t="shared" si="35"/>
        <v>47.142096130434787</v>
      </c>
      <c r="BX41" s="315">
        <f t="shared" si="35"/>
        <v>49.597428130434785</v>
      </c>
      <c r="BY41" s="315">
        <f t="shared" si="35"/>
        <v>50.006650130434785</v>
      </c>
      <c r="BZ41" s="315">
        <f t="shared" si="35"/>
        <v>42.489888130434778</v>
      </c>
      <c r="CA41" s="316"/>
      <c r="CD41" s="690"/>
      <c r="CE41" s="10" t="s">
        <v>17</v>
      </c>
      <c r="CF41" s="315"/>
      <c r="CG41" s="315">
        <f t="shared" si="36"/>
        <v>35.523821613636365</v>
      </c>
      <c r="CH41" s="315">
        <f t="shared" si="36"/>
        <v>49.556714613636366</v>
      </c>
      <c r="CI41" s="315">
        <f t="shared" si="36"/>
        <v>48.089357613636359</v>
      </c>
      <c r="CJ41" s="315">
        <f t="shared" si="36"/>
        <v>20.664248613636367</v>
      </c>
      <c r="CK41" s="315">
        <f t="shared" si="36"/>
        <v>32.816444613636364</v>
      </c>
      <c r="CL41" s="315">
        <f t="shared" si="36"/>
        <v>33.953129613636364</v>
      </c>
      <c r="CM41" s="315">
        <f t="shared" si="36"/>
        <v>24.11563761363637</v>
      </c>
      <c r="CN41" s="315"/>
      <c r="CO41" s="315"/>
      <c r="CP41" s="315"/>
      <c r="CQ41" s="316"/>
      <c r="CT41" s="690"/>
      <c r="CU41" s="10" t="s">
        <v>17</v>
      </c>
      <c r="CV41" s="315"/>
      <c r="CW41" s="315">
        <f t="shared" si="32"/>
        <v>32.582590636363626</v>
      </c>
      <c r="CX41" s="315">
        <f t="shared" si="32"/>
        <v>30.886986636363631</v>
      </c>
      <c r="CY41" s="315">
        <f t="shared" si="32"/>
        <v>30.171410636363632</v>
      </c>
      <c r="CZ41" s="315">
        <f t="shared" si="32"/>
        <v>26.609086636363628</v>
      </c>
      <c r="DA41" s="315">
        <f t="shared" si="32"/>
        <v>31.851458636363631</v>
      </c>
      <c r="DB41" s="315">
        <f t="shared" si="32"/>
        <v>30.638090636363629</v>
      </c>
      <c r="DC41" s="315">
        <f t="shared" si="32"/>
        <v>33.298166636363632</v>
      </c>
      <c r="DD41" s="315">
        <f t="shared" si="32"/>
        <v>31.042546636363632</v>
      </c>
      <c r="DE41" s="315">
        <f t="shared" si="32"/>
        <v>32.255914636363627</v>
      </c>
      <c r="DF41" s="315">
        <f t="shared" si="32"/>
        <v>32.815930636363632</v>
      </c>
      <c r="DG41" s="315"/>
    </row>
    <row r="42" spans="2:111" x14ac:dyDescent="0.25">
      <c r="B42" s="690"/>
      <c r="C42" s="10" t="s">
        <v>18</v>
      </c>
      <c r="D42" s="217"/>
      <c r="E42" s="217">
        <f t="shared" ref="E42:J42" si="41">E18*$O$26+$O$27</f>
        <v>37.230715130434774</v>
      </c>
      <c r="F42" s="218">
        <f t="shared" si="41"/>
        <v>34.143139130434776</v>
      </c>
      <c r="G42" s="218">
        <f t="shared" si="41"/>
        <v>29.324017130434779</v>
      </c>
      <c r="H42" s="218">
        <f t="shared" si="41"/>
        <v>41.695183130434778</v>
      </c>
      <c r="I42" s="217">
        <f t="shared" si="41"/>
        <v>40.506049130434775</v>
      </c>
      <c r="J42" s="217">
        <f t="shared" si="41"/>
        <v>35.603479130434778</v>
      </c>
      <c r="K42" s="217"/>
      <c r="L42" s="217"/>
      <c r="M42" s="217"/>
      <c r="N42" s="217"/>
      <c r="O42" s="217"/>
      <c r="R42" s="690"/>
      <c r="S42" s="10" t="s">
        <v>18</v>
      </c>
      <c r="T42" s="218"/>
      <c r="U42" s="218">
        <f t="shared" ref="U42:Z42" si="42">U18*$AE$27+$AE$28</f>
        <v>46.048040384615376</v>
      </c>
      <c r="V42" s="218">
        <f t="shared" si="42"/>
        <v>58.178340384615382</v>
      </c>
      <c r="W42" s="218">
        <f t="shared" si="42"/>
        <v>39.06064038461539</v>
      </c>
      <c r="X42" s="218">
        <f t="shared" si="42"/>
        <v>57.266940384615388</v>
      </c>
      <c r="Y42" s="218">
        <f t="shared" si="42"/>
        <v>47.697240384615384</v>
      </c>
      <c r="Z42" s="218">
        <f t="shared" si="42"/>
        <v>39.603140384615386</v>
      </c>
      <c r="AA42" s="218"/>
      <c r="AB42" s="218"/>
      <c r="AC42" s="218"/>
      <c r="AD42" s="218"/>
      <c r="AE42" s="223"/>
      <c r="AH42" s="690"/>
      <c r="AI42" s="10" t="s">
        <v>18</v>
      </c>
      <c r="AJ42" s="315"/>
      <c r="AK42" s="315">
        <f t="shared" si="28"/>
        <v>38.938065090909085</v>
      </c>
      <c r="AL42" s="315">
        <f t="shared" si="28"/>
        <v>41.545857090909088</v>
      </c>
      <c r="AM42" s="315">
        <f t="shared" si="28"/>
        <v>23.851665090909091</v>
      </c>
      <c r="AN42" s="315">
        <f t="shared" si="28"/>
        <v>28.162065090909088</v>
      </c>
      <c r="AO42" s="315">
        <f t="shared" si="28"/>
        <v>29.455185090909094</v>
      </c>
      <c r="AP42" s="315">
        <f t="shared" si="28"/>
        <v>27.515505090909091</v>
      </c>
      <c r="AQ42" s="315"/>
      <c r="AR42" s="315"/>
      <c r="AS42" s="315"/>
      <c r="AT42" s="315"/>
      <c r="AU42" s="316"/>
      <c r="AX42" s="690"/>
      <c r="AY42" s="10" t="s">
        <v>18</v>
      </c>
      <c r="AZ42" s="315"/>
      <c r="BA42" s="315">
        <f t="shared" si="29"/>
        <v>49.342840857142846</v>
      </c>
      <c r="BB42" s="315">
        <f t="shared" si="29"/>
        <v>47.575060857142859</v>
      </c>
      <c r="BC42" s="315">
        <f t="shared" si="29"/>
        <v>50.251984857142858</v>
      </c>
      <c r="BD42" s="315">
        <f t="shared" si="29"/>
        <v>40.756480857142861</v>
      </c>
      <c r="BE42" s="315">
        <f t="shared" si="29"/>
        <v>43.812214857142862</v>
      </c>
      <c r="BF42" s="315">
        <f t="shared" si="29"/>
        <v>42.347482857142865</v>
      </c>
      <c r="BG42" s="315">
        <f t="shared" si="29"/>
        <v>47.726584857142853</v>
      </c>
      <c r="BH42" s="315">
        <f t="shared" si="29"/>
        <v>44.418310857142856</v>
      </c>
      <c r="BI42" s="315">
        <f t="shared" si="29"/>
        <v>45.529486857142857</v>
      </c>
      <c r="BJ42" s="315"/>
      <c r="BK42" s="316"/>
      <c r="BN42" s="690"/>
      <c r="BO42" s="10" t="s">
        <v>18</v>
      </c>
      <c r="BP42" s="315"/>
      <c r="BQ42" s="315">
        <f t="shared" si="35"/>
        <v>42.317584130434781</v>
      </c>
      <c r="BR42" s="315">
        <f t="shared" si="35"/>
        <v>32.474718130434781</v>
      </c>
      <c r="BS42" s="315">
        <f t="shared" si="35"/>
        <v>34.542366130434786</v>
      </c>
      <c r="BT42" s="315">
        <f t="shared" si="35"/>
        <v>39.776100130434784</v>
      </c>
      <c r="BU42" s="315">
        <f t="shared" si="35"/>
        <v>35.360810130434778</v>
      </c>
      <c r="BV42" s="315"/>
      <c r="BW42" s="315"/>
      <c r="BX42" s="315"/>
      <c r="BY42" s="315"/>
      <c r="BZ42" s="315"/>
      <c r="CA42" s="316"/>
      <c r="CD42" s="690"/>
      <c r="CE42" s="10" t="s">
        <v>18</v>
      </c>
      <c r="CF42" s="315"/>
      <c r="CG42" s="315">
        <f t="shared" si="36"/>
        <v>35.441153613636367</v>
      </c>
      <c r="CH42" s="315">
        <f t="shared" si="36"/>
        <v>30.233069613636371</v>
      </c>
      <c r="CI42" s="315">
        <f t="shared" si="36"/>
        <v>35.957828613636366</v>
      </c>
      <c r="CJ42" s="315">
        <f t="shared" si="36"/>
        <v>55.095470613636358</v>
      </c>
      <c r="CK42" s="315">
        <f t="shared" si="36"/>
        <v>36.577838613636366</v>
      </c>
      <c r="CL42" s="315">
        <f t="shared" si="36"/>
        <v>35.895827613636364</v>
      </c>
      <c r="CM42" s="315">
        <f t="shared" si="36"/>
        <v>26.823014613636367</v>
      </c>
      <c r="CN42" s="315">
        <f t="shared" si="36"/>
        <v>40.09122861363636</v>
      </c>
      <c r="CO42" s="315">
        <f t="shared" si="36"/>
        <v>41.08324461363636</v>
      </c>
      <c r="CP42" s="315"/>
      <c r="CQ42" s="316"/>
      <c r="CT42" s="690"/>
      <c r="CU42" s="10" t="s">
        <v>18</v>
      </c>
      <c r="CV42" s="315"/>
      <c r="CW42" s="315">
        <f t="shared" si="32"/>
        <v>41.46506663636363</v>
      </c>
      <c r="CX42" s="315">
        <f t="shared" si="32"/>
        <v>31.120326636363629</v>
      </c>
      <c r="CY42" s="315">
        <f t="shared" si="32"/>
        <v>30.684758636363632</v>
      </c>
      <c r="CZ42" s="315">
        <f t="shared" si="32"/>
        <v>28.009126636363632</v>
      </c>
      <c r="DA42" s="315">
        <f t="shared" si="32"/>
        <v>24.275686636363631</v>
      </c>
      <c r="DB42" s="315">
        <f t="shared" si="32"/>
        <v>28.942486636363626</v>
      </c>
      <c r="DC42" s="315"/>
      <c r="DD42" s="315"/>
      <c r="DE42" s="315"/>
      <c r="DF42" s="315"/>
      <c r="DG42" s="315"/>
    </row>
    <row r="43" spans="2:111" x14ac:dyDescent="0.25">
      <c r="B43" s="690"/>
      <c r="C43" s="10" t="s">
        <v>19</v>
      </c>
      <c r="D43" s="217"/>
      <c r="E43" s="217">
        <f t="shared" ref="E43:J43" si="43">E19*$O$26+$O$27</f>
        <v>37.835713130434776</v>
      </c>
      <c r="F43" s="218">
        <f t="shared" si="43"/>
        <v>38.33640113043478</v>
      </c>
      <c r="G43" s="218">
        <f t="shared" si="43"/>
        <v>28.656433130434777</v>
      </c>
      <c r="H43" s="218">
        <f t="shared" si="43"/>
        <v>37.376749130434781</v>
      </c>
      <c r="I43" s="217">
        <f t="shared" si="43"/>
        <v>35.874685130434777</v>
      </c>
      <c r="J43" s="217">
        <f t="shared" si="43"/>
        <v>34.310035130434777</v>
      </c>
      <c r="K43" s="217"/>
      <c r="L43" s="217"/>
      <c r="M43" s="217"/>
      <c r="N43" s="217"/>
      <c r="O43" s="217"/>
      <c r="R43" s="690"/>
      <c r="S43" s="10" t="s">
        <v>19</v>
      </c>
      <c r="T43" s="218"/>
      <c r="U43" s="218">
        <f t="shared" ref="U43:Z43" si="44">U19*$AE$27+$AE$28</f>
        <v>45.223440384615387</v>
      </c>
      <c r="V43" s="218">
        <f t="shared" si="44"/>
        <v>54.272340384615376</v>
      </c>
      <c r="W43" s="218">
        <f t="shared" si="44"/>
        <v>37.085940384615391</v>
      </c>
      <c r="X43" s="218">
        <f t="shared" si="44"/>
        <v>51.538140384615382</v>
      </c>
      <c r="Y43" s="218">
        <f t="shared" si="44"/>
        <v>46.004640384615385</v>
      </c>
      <c r="Z43" s="218">
        <f t="shared" si="44"/>
        <v>40.14564038461539</v>
      </c>
      <c r="AA43" s="218"/>
      <c r="AB43" s="218"/>
      <c r="AC43" s="218"/>
      <c r="AD43" s="218"/>
      <c r="AE43" s="223"/>
      <c r="AH43" s="690"/>
      <c r="AI43" s="10" t="s">
        <v>19</v>
      </c>
      <c r="AJ43" s="315"/>
      <c r="AK43" s="315">
        <f t="shared" si="28"/>
        <v>37.62339309090909</v>
      </c>
      <c r="AL43" s="315">
        <f t="shared" si="28"/>
        <v>37.429425090909085</v>
      </c>
      <c r="AM43" s="315">
        <f t="shared" si="28"/>
        <v>22.989585090909092</v>
      </c>
      <c r="AN43" s="315">
        <f t="shared" si="28"/>
        <v>27.29998509090909</v>
      </c>
      <c r="AO43" s="315">
        <f t="shared" si="28"/>
        <v>28.851729090909089</v>
      </c>
      <c r="AP43" s="315">
        <f t="shared" si="28"/>
        <v>27.94654509090909</v>
      </c>
      <c r="AQ43" s="315"/>
      <c r="AR43" s="315"/>
      <c r="AS43" s="315"/>
      <c r="AT43" s="315"/>
      <c r="AU43" s="316"/>
      <c r="AX43" s="690"/>
      <c r="AY43" s="10" t="s">
        <v>19</v>
      </c>
      <c r="AZ43" s="315"/>
      <c r="BA43" s="315">
        <f t="shared" si="29"/>
        <v>49.494364857142855</v>
      </c>
      <c r="BB43" s="315">
        <f t="shared" si="29"/>
        <v>48.23166485714286</v>
      </c>
      <c r="BC43" s="315">
        <f t="shared" si="29"/>
        <v>50.706556857142857</v>
      </c>
      <c r="BD43" s="315">
        <f t="shared" si="29"/>
        <v>43.130356857142857</v>
      </c>
      <c r="BE43" s="315">
        <f t="shared" si="29"/>
        <v>45.125422857142865</v>
      </c>
      <c r="BF43" s="315">
        <f t="shared" si="29"/>
        <v>44.72135885714286</v>
      </c>
      <c r="BG43" s="315">
        <f t="shared" si="29"/>
        <v>49.746904857142852</v>
      </c>
      <c r="BH43" s="315">
        <f t="shared" si="29"/>
        <v>47.499298857142847</v>
      </c>
      <c r="BI43" s="315">
        <f t="shared" si="29"/>
        <v>41.084782857142869</v>
      </c>
      <c r="BJ43" s="315"/>
      <c r="BK43" s="316"/>
      <c r="BN43" s="690"/>
      <c r="BO43" s="10" t="s">
        <v>19</v>
      </c>
      <c r="BP43" s="315"/>
      <c r="BQ43" s="315">
        <f t="shared" si="35"/>
        <v>45.203676130434786</v>
      </c>
      <c r="BR43" s="315">
        <f t="shared" si="35"/>
        <v>35.037740130434784</v>
      </c>
      <c r="BS43" s="315">
        <f t="shared" si="35"/>
        <v>37.816142130434784</v>
      </c>
      <c r="BT43" s="315">
        <f t="shared" si="35"/>
        <v>42.274508130434782</v>
      </c>
      <c r="BU43" s="315">
        <f t="shared" si="35"/>
        <v>36.911546130434786</v>
      </c>
      <c r="BV43" s="315"/>
      <c r="BW43" s="315"/>
      <c r="BX43" s="315"/>
      <c r="BY43" s="315"/>
      <c r="BZ43" s="315"/>
      <c r="CA43" s="316"/>
      <c r="CD43" s="690"/>
      <c r="CE43" s="10" t="s">
        <v>19</v>
      </c>
      <c r="CF43" s="315"/>
      <c r="CG43" s="315">
        <f t="shared" si="36"/>
        <v>35.895827613636364</v>
      </c>
      <c r="CH43" s="315">
        <f t="shared" si="36"/>
        <v>31.493756613636368</v>
      </c>
      <c r="CI43" s="315">
        <f t="shared" si="36"/>
        <v>38.003861613636367</v>
      </c>
      <c r="CJ43" s="315">
        <f t="shared" si="36"/>
        <v>61.605575613636354</v>
      </c>
      <c r="CK43" s="315">
        <f t="shared" si="36"/>
        <v>41.496584613636358</v>
      </c>
      <c r="CL43" s="315">
        <f t="shared" si="36"/>
        <v>37.383851613636367</v>
      </c>
      <c r="CM43" s="315">
        <f t="shared" si="36"/>
        <v>28.290371613636367</v>
      </c>
      <c r="CN43" s="315">
        <f t="shared" si="36"/>
        <v>41.041910613636368</v>
      </c>
      <c r="CO43" s="315">
        <f t="shared" si="36"/>
        <v>41.289914613636363</v>
      </c>
      <c r="CP43" s="315"/>
      <c r="CQ43" s="316"/>
      <c r="CT43" s="690"/>
      <c r="CU43" s="10" t="s">
        <v>19</v>
      </c>
      <c r="CV43" s="315"/>
      <c r="CW43" s="315">
        <f t="shared" si="32"/>
        <v>34.573758636363628</v>
      </c>
      <c r="CX43" s="315">
        <f t="shared" si="32"/>
        <v>33.344834636363636</v>
      </c>
      <c r="CY43" s="315">
        <f t="shared" si="32"/>
        <v>33.251498636363628</v>
      </c>
      <c r="CZ43" s="315">
        <f t="shared" si="32"/>
        <v>28.398026636363632</v>
      </c>
      <c r="DA43" s="315">
        <f t="shared" si="32"/>
        <v>30.124742636363628</v>
      </c>
      <c r="DB43" s="315">
        <f t="shared" si="32"/>
        <v>31.72701063636363</v>
      </c>
      <c r="DC43" s="315"/>
      <c r="DD43" s="315"/>
      <c r="DE43" s="315"/>
      <c r="DF43" s="315"/>
      <c r="DG43" s="315"/>
    </row>
    <row r="44" spans="2:111" ht="15.75" thickBot="1" x14ac:dyDescent="0.3">
      <c r="B44" s="690"/>
      <c r="C44" s="159" t="s">
        <v>20</v>
      </c>
      <c r="D44" s="219"/>
      <c r="E44" s="219"/>
      <c r="F44" s="219"/>
      <c r="G44" s="219"/>
      <c r="H44" s="219"/>
      <c r="I44" s="217"/>
      <c r="J44" s="217"/>
      <c r="K44" s="217"/>
      <c r="L44" s="217"/>
      <c r="M44" s="217"/>
      <c r="N44" s="217"/>
      <c r="O44" s="217"/>
      <c r="R44" s="691"/>
      <c r="S44" s="22" t="s">
        <v>20</v>
      </c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5"/>
      <c r="AH44" s="691"/>
      <c r="AI44" s="22" t="s">
        <v>20</v>
      </c>
      <c r="AJ44" s="317"/>
      <c r="AK44" s="317"/>
      <c r="AL44" s="317"/>
      <c r="AM44" s="317"/>
      <c r="AN44" s="317"/>
      <c r="AO44" s="317"/>
      <c r="AP44" s="317"/>
      <c r="AQ44" s="317"/>
      <c r="AR44" s="317"/>
      <c r="AS44" s="317"/>
      <c r="AT44" s="317"/>
      <c r="AU44" s="318"/>
      <c r="AX44" s="691"/>
      <c r="AY44" s="22" t="s">
        <v>20</v>
      </c>
      <c r="AZ44" s="317"/>
      <c r="BA44" s="317"/>
      <c r="BB44" s="317"/>
      <c r="BC44" s="317"/>
      <c r="BD44" s="317"/>
      <c r="BE44" s="317"/>
      <c r="BF44" s="317"/>
      <c r="BG44" s="317"/>
      <c r="BH44" s="317"/>
      <c r="BI44" s="317"/>
      <c r="BJ44" s="317"/>
      <c r="BK44" s="318"/>
      <c r="BN44" s="691"/>
      <c r="BO44" s="22" t="s">
        <v>20</v>
      </c>
      <c r="BP44" s="317"/>
      <c r="BQ44" s="317"/>
      <c r="BR44" s="317"/>
      <c r="BS44" s="317"/>
      <c r="BT44" s="317"/>
      <c r="BU44" s="317"/>
      <c r="BV44" s="317"/>
      <c r="BW44" s="317"/>
      <c r="BX44" s="317"/>
      <c r="BY44" s="317"/>
      <c r="BZ44" s="317"/>
      <c r="CA44" s="318"/>
      <c r="CD44" s="691"/>
      <c r="CE44" s="22" t="s">
        <v>20</v>
      </c>
      <c r="CF44" s="317"/>
      <c r="CG44" s="317"/>
      <c r="CH44" s="317"/>
      <c r="CI44" s="317"/>
      <c r="CJ44" s="317"/>
      <c r="CK44" s="317"/>
      <c r="CL44" s="317"/>
      <c r="CM44" s="317"/>
      <c r="CN44" s="317"/>
      <c r="CO44" s="317"/>
      <c r="CP44" s="317"/>
      <c r="CQ44" s="318"/>
      <c r="CT44" s="691"/>
      <c r="CU44" s="22" t="s">
        <v>20</v>
      </c>
      <c r="CV44" s="315"/>
      <c r="CW44" s="315"/>
      <c r="CX44" s="315"/>
      <c r="CY44" s="315"/>
      <c r="CZ44" s="315"/>
      <c r="DA44" s="315"/>
      <c r="DB44" s="315"/>
      <c r="DC44" s="315"/>
      <c r="DD44" s="315"/>
      <c r="DE44" s="315"/>
      <c r="DF44" s="315"/>
      <c r="DG44" s="315"/>
    </row>
    <row r="45" spans="2:111" ht="25.5" x14ac:dyDescent="0.25">
      <c r="B45" s="647" t="s">
        <v>101</v>
      </c>
      <c r="C45" s="169" t="s">
        <v>8</v>
      </c>
      <c r="D45" s="170" t="s">
        <v>10</v>
      </c>
      <c r="E45" s="170" t="s">
        <v>56</v>
      </c>
      <c r="F45" s="216" t="s">
        <v>136</v>
      </c>
      <c r="G45" s="216" t="s">
        <v>137</v>
      </c>
      <c r="H45" s="141" t="s">
        <v>2</v>
      </c>
      <c r="R45" s="627" t="s">
        <v>101</v>
      </c>
      <c r="S45" s="226" t="s">
        <v>8</v>
      </c>
      <c r="T45" s="153" t="s">
        <v>10</v>
      </c>
      <c r="U45" s="153" t="s">
        <v>56</v>
      </c>
      <c r="V45" s="216" t="s">
        <v>136</v>
      </c>
      <c r="W45" s="216" t="s">
        <v>137</v>
      </c>
      <c r="X45" s="141" t="s">
        <v>2</v>
      </c>
      <c r="AH45" s="644" t="s">
        <v>101</v>
      </c>
      <c r="AI45" s="319" t="s">
        <v>8</v>
      </c>
      <c r="AJ45" s="170" t="s">
        <v>10</v>
      </c>
      <c r="AK45" s="170" t="s">
        <v>56</v>
      </c>
      <c r="AL45" s="320" t="s">
        <v>136</v>
      </c>
      <c r="AM45" s="320" t="s">
        <v>137</v>
      </c>
      <c r="AN45" s="140" t="s">
        <v>2</v>
      </c>
      <c r="AX45" s="644" t="s">
        <v>101</v>
      </c>
      <c r="AY45" s="319" t="s">
        <v>8</v>
      </c>
      <c r="AZ45" s="170" t="s">
        <v>10</v>
      </c>
      <c r="BA45" s="170" t="s">
        <v>56</v>
      </c>
      <c r="BB45" s="320" t="s">
        <v>136</v>
      </c>
      <c r="BC45" s="320" t="s">
        <v>137</v>
      </c>
      <c r="BD45" s="140" t="s">
        <v>2</v>
      </c>
      <c r="BN45" s="644" t="s">
        <v>101</v>
      </c>
      <c r="BO45" s="226" t="s">
        <v>8</v>
      </c>
      <c r="BP45" s="216" t="s">
        <v>10</v>
      </c>
      <c r="BQ45" s="216" t="s">
        <v>56</v>
      </c>
      <c r="BR45" s="216" t="s">
        <v>136</v>
      </c>
      <c r="BS45" s="216" t="s">
        <v>137</v>
      </c>
      <c r="BT45" s="411" t="s">
        <v>2</v>
      </c>
      <c r="CD45" s="644" t="s">
        <v>101</v>
      </c>
      <c r="CE45" s="226" t="s">
        <v>8</v>
      </c>
      <c r="CF45" s="216" t="s">
        <v>10</v>
      </c>
      <c r="CG45" s="216" t="s">
        <v>56</v>
      </c>
      <c r="CH45" s="216" t="s">
        <v>136</v>
      </c>
      <c r="CI45" s="216" t="s">
        <v>137</v>
      </c>
      <c r="CJ45" s="411" t="s">
        <v>2</v>
      </c>
      <c r="CT45" s="627" t="s">
        <v>101</v>
      </c>
      <c r="CU45" s="152" t="s">
        <v>8</v>
      </c>
      <c r="CV45" s="216" t="s">
        <v>10</v>
      </c>
      <c r="CW45" s="216" t="s">
        <v>56</v>
      </c>
      <c r="CX45" s="216" t="s">
        <v>136</v>
      </c>
      <c r="CY45" s="216" t="s">
        <v>137</v>
      </c>
      <c r="CZ45" s="411" t="s">
        <v>2</v>
      </c>
    </row>
    <row r="46" spans="2:111" x14ac:dyDescent="0.25">
      <c r="B46" s="648"/>
      <c r="C46" s="763" t="s">
        <v>24</v>
      </c>
      <c r="D46" s="680" t="s">
        <v>92</v>
      </c>
      <c r="E46" s="143" t="s">
        <v>46</v>
      </c>
      <c r="F46" s="220">
        <f>AVERAGE(E40:F40)</f>
        <v>33.423400130434786</v>
      </c>
      <c r="G46" s="122">
        <f>F46*2.5*7.143*0.15</f>
        <v>89.528755174385878</v>
      </c>
      <c r="H46" s="748">
        <f>AVERAGE(G46:G49)</f>
        <v>81.516748732104631</v>
      </c>
      <c r="R46" s="628"/>
      <c r="S46" s="741" t="s">
        <v>35</v>
      </c>
      <c r="T46" s="657" t="s">
        <v>96</v>
      </c>
      <c r="U46" s="122" t="s">
        <v>46</v>
      </c>
      <c r="V46" s="227">
        <f>AVERAGE(U40:U41)</f>
        <v>44.897940384615382</v>
      </c>
      <c r="W46" s="133">
        <f>V46*2.5*7.143*0.15</f>
        <v>120.26474556274036</v>
      </c>
      <c r="X46" s="748">
        <f>AVERAGE(W46:W51)</f>
        <v>126.84753346586537</v>
      </c>
      <c r="AH46" s="645"/>
      <c r="AI46" s="738" t="s">
        <v>31</v>
      </c>
      <c r="AJ46" s="680" t="s">
        <v>142</v>
      </c>
      <c r="AK46" s="133" t="s">
        <v>46</v>
      </c>
      <c r="AL46" s="133">
        <f>AVERAGE(AK40:AK41)</f>
        <v>51.319689090909094</v>
      </c>
      <c r="AM46" s="133">
        <f>AL46*2.5*7.143*0.15</f>
        <v>137.46620219113638</v>
      </c>
      <c r="AN46" s="748">
        <f>AVERAGE(AM46:AM51)</f>
        <v>111.14625794563635</v>
      </c>
      <c r="AX46" s="645"/>
      <c r="AY46" s="738" t="s">
        <v>127</v>
      </c>
      <c r="AZ46" s="680" t="s">
        <v>96</v>
      </c>
      <c r="BA46" s="133" t="s">
        <v>117</v>
      </c>
      <c r="BB46" s="133">
        <f>AVERAGE(BA40:BA41)</f>
        <v>39.329629857142862</v>
      </c>
      <c r="BC46" s="133">
        <f>BB46*2.5*7.143*0.15</f>
        <v>105.34932977608929</v>
      </c>
      <c r="BD46" s="748">
        <f>AVERAGE(BC46:BC53)</f>
        <v>100.78745293769867</v>
      </c>
      <c r="BN46" s="645"/>
      <c r="BO46" s="680" t="s">
        <v>151</v>
      </c>
      <c r="BP46" s="680" t="s">
        <v>94</v>
      </c>
      <c r="BQ46" s="79" t="s">
        <v>122</v>
      </c>
      <c r="BR46" s="79">
        <f>AVERAGE(BQ40:BQ41)</f>
        <v>32.442411130434785</v>
      </c>
      <c r="BS46" s="79">
        <f>BR46*2.5*7.143*0.15</f>
        <v>86.901053514260866</v>
      </c>
      <c r="BT46" s="748">
        <f>AVERAGE(BS46:BS55)</f>
        <v>109.93467444532337</v>
      </c>
      <c r="CD46" s="645"/>
      <c r="CE46" s="675" t="s">
        <v>154</v>
      </c>
      <c r="CF46" s="680" t="s">
        <v>144</v>
      </c>
      <c r="CG46" s="163" t="s">
        <v>122</v>
      </c>
      <c r="CH46" s="163">
        <f>AVERAGE(CG40:CG41)</f>
        <v>35.317151613636369</v>
      </c>
      <c r="CI46" s="163">
        <f>CH46*2.5*7.143*0.15</f>
        <v>94.601405241076719</v>
      </c>
      <c r="CJ46" s="748">
        <f>AVERAGE(CI46:CI52)</f>
        <v>91.837402321817777</v>
      </c>
      <c r="CT46" s="628"/>
      <c r="CU46" s="763" t="s">
        <v>210</v>
      </c>
      <c r="CV46" s="680" t="s">
        <v>92</v>
      </c>
      <c r="CW46" s="132" t="s">
        <v>46</v>
      </c>
      <c r="CX46" s="143">
        <f>AVERAGE(CW40:CW41)</f>
        <v>31.182550636363629</v>
      </c>
      <c r="CY46" s="132">
        <f>CX46*2.5*7.143*0.15</f>
        <v>83.526359698329514</v>
      </c>
      <c r="CZ46" s="748">
        <f>AVERAGE(CY46:CY47)</f>
        <v>81.390839310204527</v>
      </c>
    </row>
    <row r="47" spans="2:111" x14ac:dyDescent="0.25">
      <c r="B47" s="648"/>
      <c r="C47" s="741"/>
      <c r="D47" s="657"/>
      <c r="E47" s="122" t="s">
        <v>44</v>
      </c>
      <c r="F47" s="220">
        <f>AVERAGE(F40:F41)</f>
        <v>29.803843130434785</v>
      </c>
      <c r="G47" s="122">
        <f t="shared" ref="G47:G60" si="45">F47*2.5*7.143*0.15</f>
        <v>79.833319305260872</v>
      </c>
      <c r="H47" s="743"/>
      <c r="R47" s="628"/>
      <c r="S47" s="741"/>
      <c r="T47" s="657"/>
      <c r="U47" s="122" t="s">
        <v>44</v>
      </c>
      <c r="V47" s="228">
        <f>AVERAGE(V40:V41)</f>
        <v>39.299340384615391</v>
      </c>
      <c r="W47" s="132">
        <f t="shared" ref="W47:W57" si="46">V47*2.5*7.143*0.15</f>
        <v>105.2681956377404</v>
      </c>
      <c r="X47" s="743"/>
      <c r="AH47" s="645"/>
      <c r="AI47" s="739"/>
      <c r="AJ47" s="657"/>
      <c r="AK47" s="132" t="s">
        <v>44</v>
      </c>
      <c r="AL47" s="132">
        <f>AVERAGE(AL40:AL41)</f>
        <v>38.119089090909085</v>
      </c>
      <c r="AM47" s="132">
        <f t="shared" ref="AM47:AM61" si="47">AL47*2.5*7.143*0.15</f>
        <v>102.10674501613634</v>
      </c>
      <c r="AN47" s="743"/>
      <c r="AX47" s="645"/>
      <c r="AY47" s="739"/>
      <c r="AZ47" s="657"/>
      <c r="BA47" s="132" t="s">
        <v>118</v>
      </c>
      <c r="BB47" s="132">
        <f>AVERAGE(BB40:BB41)</f>
        <v>39.556915857142862</v>
      </c>
      <c r="BC47" s="132">
        <f t="shared" ref="BC47:BC62" si="48">BB47*2.5*7.143*0.15</f>
        <v>105.95814373783929</v>
      </c>
      <c r="BD47" s="743"/>
      <c r="BN47" s="645"/>
      <c r="BO47" s="657"/>
      <c r="BP47" s="657"/>
      <c r="BQ47" s="79" t="s">
        <v>123</v>
      </c>
      <c r="BR47" s="79">
        <f>AVERAGE(BR40:BR41)</f>
        <v>38.84996613043478</v>
      </c>
      <c r="BS47" s="79">
        <f t="shared" ref="BS47:BS60" si="49">BR47*2.5*7.143*0.15</f>
        <v>104.06449052613586</v>
      </c>
      <c r="BT47" s="743"/>
      <c r="CD47" s="645"/>
      <c r="CE47" s="666"/>
      <c r="CF47" s="657"/>
      <c r="CG47" s="79" t="s">
        <v>123</v>
      </c>
      <c r="CH47" s="79">
        <f>AVERAGE(CH40:CH41)</f>
        <v>48.575032113636368</v>
      </c>
      <c r="CI47" s="79">
        <f t="shared" ref="CI47:CI61" si="50">CH47*2.5*7.143*0.15</f>
        <v>130.11429539538921</v>
      </c>
      <c r="CJ47" s="743"/>
      <c r="CT47" s="628"/>
      <c r="CU47" s="741"/>
      <c r="CV47" s="658"/>
      <c r="CW47" s="134" t="s">
        <v>44</v>
      </c>
      <c r="CX47" s="139">
        <f>AVERAGE(CX40:CX41)</f>
        <v>29.588060636363632</v>
      </c>
      <c r="CY47" s="134">
        <f t="shared" ref="CY47:CY61" si="51">CX47*2.5*7.143*0.15</f>
        <v>79.255318922079539</v>
      </c>
      <c r="CZ47" s="744"/>
    </row>
    <row r="48" spans="2:111" x14ac:dyDescent="0.25">
      <c r="B48" s="648"/>
      <c r="C48" s="741"/>
      <c r="D48" s="657"/>
      <c r="E48" s="122" t="s">
        <v>45</v>
      </c>
      <c r="F48" s="220">
        <f>AVERAGE(G40:G41)</f>
        <v>32.161249130434783</v>
      </c>
      <c r="G48" s="122">
        <f t="shared" si="45"/>
        <v>86.147925952010866</v>
      </c>
      <c r="H48" s="743"/>
      <c r="R48" s="628"/>
      <c r="S48" s="741"/>
      <c r="T48" s="657"/>
      <c r="U48" s="122" t="s">
        <v>45</v>
      </c>
      <c r="V48" s="228">
        <f>AVERAGE(W40:W41)</f>
        <v>42.348190384615386</v>
      </c>
      <c r="W48" s="132">
        <f t="shared" si="46"/>
        <v>113.43492146899038</v>
      </c>
      <c r="X48" s="743"/>
      <c r="AH48" s="645"/>
      <c r="AI48" s="739"/>
      <c r="AJ48" s="657"/>
      <c r="AK48" s="132" t="s">
        <v>45</v>
      </c>
      <c r="AL48" s="132">
        <f>AVERAGE(AM40:AM41)</f>
        <v>42.170865090909089</v>
      </c>
      <c r="AM48" s="132">
        <f t="shared" si="47"/>
        <v>112.95993350413637</v>
      </c>
      <c r="AN48" s="743"/>
      <c r="AX48" s="645"/>
      <c r="AY48" s="739"/>
      <c r="AZ48" s="657"/>
      <c r="BA48" s="132" t="s">
        <v>119</v>
      </c>
      <c r="BB48" s="132">
        <f>AVERAGE(BC40:BC41)</f>
        <v>37.890151857142861</v>
      </c>
      <c r="BC48" s="132">
        <f t="shared" si="48"/>
        <v>101.49350801833928</v>
      </c>
      <c r="BD48" s="743"/>
      <c r="BN48" s="645"/>
      <c r="BO48" s="657"/>
      <c r="BP48" s="657"/>
      <c r="BQ48" s="79" t="s">
        <v>124</v>
      </c>
      <c r="BR48" s="79">
        <f>AVERAGE(BS40:BS41)</f>
        <v>35.834646130434784</v>
      </c>
      <c r="BS48" s="79">
        <f t="shared" si="49"/>
        <v>95.987578991135862</v>
      </c>
      <c r="BT48" s="743"/>
      <c r="CD48" s="645"/>
      <c r="CE48" s="666"/>
      <c r="CF48" s="657"/>
      <c r="CG48" s="79" t="s">
        <v>124</v>
      </c>
      <c r="CH48" s="79">
        <f>AVERAGE(CI40:CI41)</f>
        <v>45.72298611363636</v>
      </c>
      <c r="CI48" s="79">
        <f t="shared" si="50"/>
        <v>122.47473367863918</v>
      </c>
      <c r="CJ48" s="743"/>
      <c r="CT48" s="628"/>
      <c r="CU48" s="741"/>
      <c r="CV48" s="657" t="s">
        <v>143</v>
      </c>
      <c r="CW48" s="132" t="s">
        <v>46</v>
      </c>
      <c r="CX48" s="122">
        <f>AVERAGE(CY40:CY41)</f>
        <v>28.475806636363632</v>
      </c>
      <c r="CY48" s="132">
        <f t="shared" si="51"/>
        <v>76.276007551329528</v>
      </c>
      <c r="CZ48" s="748">
        <f>AVERAGE(CY48:CY52)</f>
        <v>76.538520301479537</v>
      </c>
    </row>
    <row r="49" spans="2:104" x14ac:dyDescent="0.25">
      <c r="B49" s="648"/>
      <c r="C49" s="761"/>
      <c r="D49" s="658"/>
      <c r="E49" s="139" t="s">
        <v>47</v>
      </c>
      <c r="F49" s="221">
        <f>AVERAGE(H40:H41)</f>
        <v>26.340751130434782</v>
      </c>
      <c r="G49" s="139">
        <f t="shared" si="45"/>
        <v>70.556994496760879</v>
      </c>
      <c r="H49" s="744"/>
      <c r="R49" s="628"/>
      <c r="S49" s="741"/>
      <c r="T49" s="657"/>
      <c r="U49" s="122" t="s">
        <v>47</v>
      </c>
      <c r="V49" s="228">
        <f>AVERAGE(X40:X41)</f>
        <v>45.429590384615381</v>
      </c>
      <c r="W49" s="132">
        <f t="shared" si="46"/>
        <v>121.68883654399036</v>
      </c>
      <c r="X49" s="743"/>
      <c r="AH49" s="645"/>
      <c r="AI49" s="739"/>
      <c r="AJ49" s="657"/>
      <c r="AK49" s="132" t="s">
        <v>47</v>
      </c>
      <c r="AL49" s="132">
        <f>AVERAGE(AN40:AN41)</f>
        <v>39.85402509090909</v>
      </c>
      <c r="AM49" s="132">
        <f t="shared" si="47"/>
        <v>106.75398795913635</v>
      </c>
      <c r="AN49" s="743"/>
      <c r="AX49" s="645"/>
      <c r="AY49" s="739"/>
      <c r="AZ49" s="657"/>
      <c r="BA49" s="132" t="s">
        <v>122</v>
      </c>
      <c r="BB49" s="132">
        <f>AVERAGE(BD40:BD41)</f>
        <v>33.49595585714286</v>
      </c>
      <c r="BC49" s="132">
        <f t="shared" si="48"/>
        <v>89.723104757839295</v>
      </c>
      <c r="BD49" s="743"/>
      <c r="BN49" s="645"/>
      <c r="BO49" s="657"/>
      <c r="BP49" s="657"/>
      <c r="BQ49" s="79" t="s">
        <v>125</v>
      </c>
      <c r="BR49" s="79">
        <f>AVERAGE(BT40:BT41)</f>
        <v>38.656124130434783</v>
      </c>
      <c r="BS49" s="79">
        <f t="shared" si="49"/>
        <v>103.54526049888587</v>
      </c>
      <c r="BT49" s="743"/>
      <c r="CD49" s="645"/>
      <c r="CE49" s="666"/>
      <c r="CF49" s="657"/>
      <c r="CG49" s="79" t="s">
        <v>125</v>
      </c>
      <c r="CH49" s="79">
        <f>AVERAGE(CJ40:CJ41)</f>
        <v>20.075239113636368</v>
      </c>
      <c r="CI49" s="79">
        <f t="shared" si="50"/>
        <v>53.774037370764212</v>
      </c>
      <c r="CJ49" s="743"/>
      <c r="CT49" s="628"/>
      <c r="CU49" s="741"/>
      <c r="CV49" s="657"/>
      <c r="CW49" s="132" t="s">
        <v>44</v>
      </c>
      <c r="CX49" s="122">
        <f>AVERAGE(CZ40:CZ41)</f>
        <v>25.34127263636363</v>
      </c>
      <c r="CY49" s="132">
        <f t="shared" si="51"/>
        <v>67.879766415579525</v>
      </c>
      <c r="CZ49" s="743"/>
    </row>
    <row r="50" spans="2:104" x14ac:dyDescent="0.25">
      <c r="B50" s="648"/>
      <c r="C50" s="763" t="s">
        <v>28</v>
      </c>
      <c r="D50" s="680" t="s">
        <v>94</v>
      </c>
      <c r="E50" s="143" t="s">
        <v>46</v>
      </c>
      <c r="F50" s="220">
        <f>AVERAGE(I40:I41)</f>
        <v>40.829410130434781</v>
      </c>
      <c r="G50" s="122">
        <f t="shared" si="45"/>
        <v>109.36667871063587</v>
      </c>
      <c r="H50" s="748">
        <f>AVERAGE(G50:G54)</f>
        <v>89.852867727935859</v>
      </c>
      <c r="R50" s="628"/>
      <c r="S50" s="741"/>
      <c r="T50" s="657"/>
      <c r="U50" s="122" t="s">
        <v>48</v>
      </c>
      <c r="V50" s="228">
        <f>AVERAGE(Y40:Y41)</f>
        <v>49.292190384615381</v>
      </c>
      <c r="W50" s="132">
        <f t="shared" si="46"/>
        <v>132.03529346899035</v>
      </c>
      <c r="X50" s="743"/>
      <c r="AH50" s="645"/>
      <c r="AI50" s="739"/>
      <c r="AJ50" s="657"/>
      <c r="AK50" s="132" t="s">
        <v>48</v>
      </c>
      <c r="AL50" s="132">
        <f>AVERAGE(AO40:AO41)</f>
        <v>37.192353090909087</v>
      </c>
      <c r="AM50" s="132">
        <f t="shared" si="47"/>
        <v>99.62436679813635</v>
      </c>
      <c r="AN50" s="743"/>
      <c r="AX50" s="645"/>
      <c r="AY50" s="739"/>
      <c r="AZ50" s="657"/>
      <c r="BA50" s="132" t="s">
        <v>123</v>
      </c>
      <c r="BB50" s="132">
        <f>AVERAGE(BE40:BE41)</f>
        <v>35.39000585714286</v>
      </c>
      <c r="BC50" s="132">
        <f t="shared" si="48"/>
        <v>94.796554439089292</v>
      </c>
      <c r="BD50" s="743"/>
      <c r="BN50" s="645"/>
      <c r="BO50" s="657"/>
      <c r="BP50" s="657"/>
      <c r="BQ50" s="79" t="s">
        <v>126</v>
      </c>
      <c r="BR50" s="79">
        <f>AVERAGE(BU40:BU41)</f>
        <v>40.314550130434782</v>
      </c>
      <c r="BS50" s="79">
        <f t="shared" si="49"/>
        <v>107.98756184313585</v>
      </c>
      <c r="BT50" s="743"/>
      <c r="CD50" s="645"/>
      <c r="CE50" s="666"/>
      <c r="CF50" s="657"/>
      <c r="CG50" s="79" t="s">
        <v>126</v>
      </c>
      <c r="CH50" s="79">
        <f>AVERAGE(CK40:CK41)</f>
        <v>32.351437113636365</v>
      </c>
      <c r="CI50" s="79">
        <f t="shared" si="50"/>
        <v>86.657368238514195</v>
      </c>
      <c r="CJ50" s="743"/>
      <c r="CT50" s="628"/>
      <c r="CU50" s="741"/>
      <c r="CV50" s="657"/>
      <c r="CW50" s="132" t="s">
        <v>45</v>
      </c>
      <c r="CX50" s="122">
        <f>AVERAGE(DA40:DA41)</f>
        <v>30.109186636363631</v>
      </c>
      <c r="CY50" s="132">
        <f t="shared" si="51"/>
        <v>80.651220053829533</v>
      </c>
      <c r="CZ50" s="743"/>
    </row>
    <row r="51" spans="2:104" x14ac:dyDescent="0.25">
      <c r="B51" s="648"/>
      <c r="C51" s="741"/>
      <c r="D51" s="657"/>
      <c r="E51" s="122" t="s">
        <v>44</v>
      </c>
      <c r="F51" s="220">
        <f>AVERAGE(J40:J41)</f>
        <v>31.618837130434784</v>
      </c>
      <c r="G51" s="122">
        <f t="shared" si="45"/>
        <v>84.695007608510849</v>
      </c>
      <c r="H51" s="743"/>
      <c r="R51" s="628"/>
      <c r="S51" s="761"/>
      <c r="T51" s="658"/>
      <c r="U51" s="139" t="s">
        <v>49</v>
      </c>
      <c r="V51" s="229">
        <f>AVERAGE(Z40:Z41)</f>
        <v>62.865540384615386</v>
      </c>
      <c r="W51" s="134">
        <f t="shared" si="46"/>
        <v>168.39320811274038</v>
      </c>
      <c r="X51" s="744"/>
      <c r="AH51" s="645"/>
      <c r="AI51" s="740"/>
      <c r="AJ51" s="658"/>
      <c r="AK51" s="134" t="s">
        <v>49</v>
      </c>
      <c r="AL51" s="134">
        <f>AVERAGE(AP40:AP41)</f>
        <v>40.306617090909086</v>
      </c>
      <c r="AM51" s="134">
        <f t="shared" si="47"/>
        <v>107.96631220513635</v>
      </c>
      <c r="AN51" s="744"/>
      <c r="AX51" s="645"/>
      <c r="AY51" s="739"/>
      <c r="AZ51" s="657"/>
      <c r="BA51" s="132" t="s">
        <v>124</v>
      </c>
      <c r="BB51" s="132">
        <f>AVERAGE(BF40:BF41)</f>
        <v>35.541529857142862</v>
      </c>
      <c r="BC51" s="132">
        <f t="shared" si="48"/>
        <v>95.202430413589283</v>
      </c>
      <c r="BD51" s="743"/>
      <c r="BN51" s="645"/>
      <c r="BO51" s="657"/>
      <c r="BP51" s="657"/>
      <c r="BQ51" s="79" t="s">
        <v>117</v>
      </c>
      <c r="BR51" s="79">
        <f>AVERAGE(BV40:BV41)</f>
        <v>39.905328130434782</v>
      </c>
      <c r="BS51" s="79">
        <f t="shared" si="49"/>
        <v>106.89140956338586</v>
      </c>
      <c r="BT51" s="743"/>
      <c r="CD51" s="645"/>
      <c r="CE51" s="666"/>
      <c r="CF51" s="657"/>
      <c r="CG51" s="79" t="s">
        <v>46</v>
      </c>
      <c r="CH51" s="79">
        <f>AVERAGE(CL40:CL41)</f>
        <v>33.777460113636366</v>
      </c>
      <c r="CI51" s="79">
        <f t="shared" si="50"/>
        <v>90.477149096889207</v>
      </c>
      <c r="CJ51" s="743"/>
      <c r="CT51" s="628"/>
      <c r="CU51" s="741"/>
      <c r="CV51" s="657"/>
      <c r="CW51" s="132" t="s">
        <v>47</v>
      </c>
      <c r="CX51" s="122">
        <f>AVERAGE(DB40:DB41)</f>
        <v>28.802482636363631</v>
      </c>
      <c r="CY51" s="132">
        <f t="shared" si="51"/>
        <v>77.151050051829529</v>
      </c>
      <c r="CZ51" s="743"/>
    </row>
    <row r="52" spans="2:104" x14ac:dyDescent="0.25">
      <c r="B52" s="648"/>
      <c r="C52" s="741"/>
      <c r="D52" s="657"/>
      <c r="E52" s="122" t="s">
        <v>45</v>
      </c>
      <c r="F52" s="220">
        <f>AVERAGE(K40:K41)</f>
        <v>32.077801130434779</v>
      </c>
      <c r="G52" s="122">
        <f t="shared" si="45"/>
        <v>85.924400053010842</v>
      </c>
      <c r="H52" s="743"/>
      <c r="R52" s="628"/>
      <c r="S52" s="755" t="s">
        <v>50</v>
      </c>
      <c r="T52" s="751" t="s">
        <v>97</v>
      </c>
      <c r="U52" s="122" t="s">
        <v>46</v>
      </c>
      <c r="V52" s="228">
        <f>AVERAGE(U42:U43)</f>
        <v>45.635740384615382</v>
      </c>
      <c r="W52" s="132">
        <f t="shared" si="46"/>
        <v>122.24103508774037</v>
      </c>
      <c r="X52" s="748">
        <f>AVERAGE(W52:W57)</f>
        <v>125.47672480024038</v>
      </c>
      <c r="AH52" s="645"/>
      <c r="AI52" s="738" t="s">
        <v>51</v>
      </c>
      <c r="AJ52" s="680" t="s">
        <v>143</v>
      </c>
      <c r="AK52" s="133" t="s">
        <v>46</v>
      </c>
      <c r="AL52" s="133">
        <f>AVERAGE(AQ40:AQ41)</f>
        <v>39.412209090909087</v>
      </c>
      <c r="AM52" s="133">
        <f t="shared" si="47"/>
        <v>105.57052857613634</v>
      </c>
      <c r="AN52" s="748">
        <f>AVERAGE(AM52:AM57)</f>
        <v>106.47977176063632</v>
      </c>
      <c r="AX52" s="645"/>
      <c r="AY52" s="739"/>
      <c r="AZ52" s="657"/>
      <c r="BA52" s="132" t="s">
        <v>125</v>
      </c>
      <c r="BB52" s="132">
        <f>AVERAGE(BG40:BG41)</f>
        <v>40.301908857142863</v>
      </c>
      <c r="BC52" s="132">
        <f t="shared" si="48"/>
        <v>107.95370061246429</v>
      </c>
      <c r="BD52" s="743"/>
      <c r="BN52" s="645"/>
      <c r="BO52" s="657"/>
      <c r="BP52" s="657"/>
      <c r="BQ52" s="79" t="s">
        <v>118</v>
      </c>
      <c r="BR52" s="79">
        <f>AVERAGE(BW40:BW41)</f>
        <v>45.623667130434782</v>
      </c>
      <c r="BS52" s="79">
        <f t="shared" si="49"/>
        <v>122.20869536726087</v>
      </c>
      <c r="BT52" s="743"/>
      <c r="CD52" s="645"/>
      <c r="CE52" s="745"/>
      <c r="CF52" s="658"/>
      <c r="CG52" s="138" t="s">
        <v>44</v>
      </c>
      <c r="CH52" s="138">
        <f>AVERAGE(CM40:CM41)</f>
        <v>24.177638613636368</v>
      </c>
      <c r="CI52" s="138">
        <f t="shared" si="50"/>
        <v>64.762827231451709</v>
      </c>
      <c r="CJ52" s="744"/>
      <c r="CT52" s="628"/>
      <c r="CU52" s="741"/>
      <c r="CV52" s="658"/>
      <c r="CW52" s="134" t="s">
        <v>48</v>
      </c>
      <c r="CX52" s="139">
        <f>AVERAGE(DC40:DC41)</f>
        <v>30.140298636363632</v>
      </c>
      <c r="CY52" s="134">
        <f t="shared" si="51"/>
        <v>80.73455743482954</v>
      </c>
      <c r="CZ52" s="744"/>
    </row>
    <row r="53" spans="2:104" x14ac:dyDescent="0.25">
      <c r="B53" s="648"/>
      <c r="C53" s="741"/>
      <c r="D53" s="657"/>
      <c r="E53" s="122" t="s">
        <v>47</v>
      </c>
      <c r="F53" s="220">
        <f>AVERAGE(L40:L41)</f>
        <v>34.466500130434781</v>
      </c>
      <c r="G53" s="122">
        <f t="shared" si="45"/>
        <v>92.322828911885864</v>
      </c>
      <c r="H53" s="743"/>
      <c r="R53" s="628"/>
      <c r="S53" s="755"/>
      <c r="T53" s="751"/>
      <c r="U53" s="122" t="s">
        <v>44</v>
      </c>
      <c r="V53" s="228">
        <f>AVERAGE(V42:V43)</f>
        <v>56.225340384615379</v>
      </c>
      <c r="W53" s="132">
        <f t="shared" si="46"/>
        <v>150.60660238774037</v>
      </c>
      <c r="X53" s="743"/>
      <c r="AH53" s="645"/>
      <c r="AI53" s="739"/>
      <c r="AJ53" s="657"/>
      <c r="AK53" s="132" t="s">
        <v>44</v>
      </c>
      <c r="AL53" s="132">
        <f>AVERAGE(AR40:AR41)</f>
        <v>38.862633090909085</v>
      </c>
      <c r="AM53" s="132">
        <f t="shared" si="47"/>
        <v>104.09842056313633</v>
      </c>
      <c r="AN53" s="743"/>
      <c r="AX53" s="645"/>
      <c r="AY53" s="740"/>
      <c r="AZ53" s="658"/>
      <c r="BA53" s="134" t="s">
        <v>126</v>
      </c>
      <c r="BB53" s="134">
        <f>AVERAGE(BH40:BH41)</f>
        <v>39.506407857142861</v>
      </c>
      <c r="BC53" s="134">
        <f t="shared" si="48"/>
        <v>105.82285174633928</v>
      </c>
      <c r="BD53" s="744"/>
      <c r="BN53" s="645"/>
      <c r="BO53" s="657"/>
      <c r="BP53" s="657"/>
      <c r="BQ53" s="79" t="s">
        <v>119</v>
      </c>
      <c r="BR53" s="79">
        <f>AVERAGE(BX40:BX41)</f>
        <v>47.863619130434785</v>
      </c>
      <c r="BS53" s="79">
        <f t="shared" si="49"/>
        <v>128.20868679326088</v>
      </c>
      <c r="BT53" s="743"/>
      <c r="CD53" s="645"/>
      <c r="CE53" s="675" t="s">
        <v>153</v>
      </c>
      <c r="CF53" s="680" t="s">
        <v>149</v>
      </c>
      <c r="CG53" s="79" t="s">
        <v>122</v>
      </c>
      <c r="CH53" s="79">
        <f>AVERAGE(CG42:CG43)</f>
        <v>35.668490613636365</v>
      </c>
      <c r="CI53" s="79">
        <f t="shared" si="50"/>
        <v>95.54251066995171</v>
      </c>
      <c r="CJ53" s="748">
        <f>AVERAGE(CI53:CI61)</f>
        <v>103.23128051370171</v>
      </c>
      <c r="CT53" s="628"/>
      <c r="CU53" s="741"/>
      <c r="CV53" s="657" t="s">
        <v>94</v>
      </c>
      <c r="CW53" s="132" t="s">
        <v>46</v>
      </c>
      <c r="CX53" s="122">
        <f>AVERAGE(DD40:DD41)</f>
        <v>29.961404636363632</v>
      </c>
      <c r="CY53" s="132">
        <f t="shared" si="51"/>
        <v>80.255367494079522</v>
      </c>
      <c r="CZ53" s="748">
        <f>AVERAGE(CY53:CY57)</f>
        <v>86.868188676429526</v>
      </c>
    </row>
    <row r="54" spans="2:104" x14ac:dyDescent="0.25">
      <c r="B54" s="648"/>
      <c r="C54" s="761"/>
      <c r="D54" s="658"/>
      <c r="E54" s="139" t="s">
        <v>48</v>
      </c>
      <c r="F54" s="221">
        <f>AVERAGE(M40:M41)</f>
        <v>28.729450130434785</v>
      </c>
      <c r="G54" s="139">
        <f t="shared" si="45"/>
        <v>76.955423355635872</v>
      </c>
      <c r="H54" s="744"/>
      <c r="R54" s="628"/>
      <c r="S54" s="755"/>
      <c r="T54" s="751"/>
      <c r="U54" s="122" t="s">
        <v>45</v>
      </c>
      <c r="V54" s="228">
        <f>AVERAGE(W42:W43)</f>
        <v>38.07329038461539</v>
      </c>
      <c r="W54" s="132">
        <f t="shared" si="46"/>
        <v>101.98406745649039</v>
      </c>
      <c r="X54" s="743"/>
      <c r="AH54" s="645"/>
      <c r="AI54" s="739"/>
      <c r="AJ54" s="657"/>
      <c r="AK54" s="132" t="s">
        <v>45</v>
      </c>
      <c r="AL54" s="132">
        <f>AVERAGE(AS40:AS41)</f>
        <v>40.802313090909095</v>
      </c>
      <c r="AM54" s="132">
        <f t="shared" si="47"/>
        <v>109.29409590313637</v>
      </c>
      <c r="AN54" s="743"/>
      <c r="AX54" s="645"/>
      <c r="AY54" s="738" t="s">
        <v>128</v>
      </c>
      <c r="AZ54" s="657" t="s">
        <v>142</v>
      </c>
      <c r="BA54" s="132" t="s">
        <v>117</v>
      </c>
      <c r="BB54" s="132">
        <f>AVERAGE(BA42:BA43)</f>
        <v>49.418602857142851</v>
      </c>
      <c r="BC54" s="132">
        <f t="shared" si="48"/>
        <v>132.37390507821425</v>
      </c>
      <c r="BD54" s="748">
        <f>AVERAGE(BC54:BC62)</f>
        <v>123.73776628746428</v>
      </c>
      <c r="BN54" s="645"/>
      <c r="BO54" s="657"/>
      <c r="BP54" s="657"/>
      <c r="BQ54" s="79" t="s">
        <v>120</v>
      </c>
      <c r="BR54" s="79">
        <f>AVERAGE(BY40:BY41)</f>
        <v>48.822060130434785</v>
      </c>
      <c r="BS54" s="79">
        <f t="shared" si="49"/>
        <v>130.77599081688587</v>
      </c>
      <c r="BT54" s="743"/>
      <c r="CD54" s="645"/>
      <c r="CE54" s="666"/>
      <c r="CF54" s="657"/>
      <c r="CG54" s="79" t="s">
        <v>124</v>
      </c>
      <c r="CH54" s="79">
        <f>AVERAGE(CH42:CH43)</f>
        <v>30.863413113636369</v>
      </c>
      <c r="CI54" s="79">
        <f t="shared" si="50"/>
        <v>82.67150995151421</v>
      </c>
      <c r="CJ54" s="743"/>
      <c r="CT54" s="628"/>
      <c r="CU54" s="741"/>
      <c r="CV54" s="657"/>
      <c r="CW54" s="132" t="s">
        <v>44</v>
      </c>
      <c r="CX54" s="122">
        <f>AVERAGE(DE40:DE41)</f>
        <v>30.498086636363627</v>
      </c>
      <c r="CY54" s="132">
        <f t="shared" si="51"/>
        <v>81.69293731632952</v>
      </c>
      <c r="CZ54" s="743"/>
    </row>
    <row r="55" spans="2:104" x14ac:dyDescent="0.25">
      <c r="B55" s="648"/>
      <c r="C55" s="763" t="s">
        <v>34</v>
      </c>
      <c r="D55" s="680" t="s">
        <v>95</v>
      </c>
      <c r="E55" s="122" t="s">
        <v>46</v>
      </c>
      <c r="F55" s="220">
        <f>AVERAGE(E42:E43)</f>
        <v>37.533214130434772</v>
      </c>
      <c r="G55" s="122">
        <f t="shared" si="45"/>
        <v>100.53740570013584</v>
      </c>
      <c r="H55" s="748">
        <f>AVERAGE(G55:G60)</f>
        <v>96.18330745919836</v>
      </c>
      <c r="R55" s="628"/>
      <c r="S55" s="755"/>
      <c r="T55" s="751"/>
      <c r="U55" s="122" t="s">
        <v>47</v>
      </c>
      <c r="V55" s="228">
        <f>AVERAGE(X42:X43)</f>
        <v>54.402540384615385</v>
      </c>
      <c r="W55" s="132">
        <f t="shared" si="46"/>
        <v>145.72400473774039</v>
      </c>
      <c r="X55" s="743"/>
      <c r="AH55" s="645"/>
      <c r="AI55" s="739"/>
      <c r="AJ55" s="657"/>
      <c r="AK55" s="132" t="s">
        <v>47</v>
      </c>
      <c r="AL55" s="132">
        <f>AVERAGE(AT40:AT41)</f>
        <v>41.664393090909087</v>
      </c>
      <c r="AM55" s="132">
        <f t="shared" si="47"/>
        <v>111.60328494313633</v>
      </c>
      <c r="AN55" s="743"/>
      <c r="AX55" s="645"/>
      <c r="AY55" s="739"/>
      <c r="AZ55" s="657"/>
      <c r="BA55" s="132" t="s">
        <v>118</v>
      </c>
      <c r="BB55" s="132">
        <f>AVERAGE(BB42:BB43)</f>
        <v>47.903362857142859</v>
      </c>
      <c r="BC55" s="132">
        <f t="shared" si="48"/>
        <v>128.3151453332143</v>
      </c>
      <c r="BD55" s="743"/>
      <c r="BN55" s="645"/>
      <c r="BO55" s="658"/>
      <c r="BP55" s="658"/>
      <c r="BQ55" s="79" t="s">
        <v>121</v>
      </c>
      <c r="BR55" s="79">
        <f>AVERAGE(BZ40:BZ41)</f>
        <v>42.102204130434778</v>
      </c>
      <c r="BS55" s="79">
        <f t="shared" si="49"/>
        <v>112.77601653888586</v>
      </c>
      <c r="BT55" s="744"/>
      <c r="CD55" s="645"/>
      <c r="CE55" s="666"/>
      <c r="CF55" s="657"/>
      <c r="CG55" s="79" t="s">
        <v>125</v>
      </c>
      <c r="CH55" s="79">
        <f>AVERAGE(CI42:CI43)</f>
        <v>36.980845113636363</v>
      </c>
      <c r="CI55" s="79">
        <f t="shared" si="50"/>
        <v>99.057816242514178</v>
      </c>
      <c r="CJ55" s="743"/>
      <c r="CT55" s="628"/>
      <c r="CU55" s="741"/>
      <c r="CV55" s="657"/>
      <c r="CW55" s="132" t="s">
        <v>45</v>
      </c>
      <c r="CX55" s="122">
        <f>AVERAGE(DF40:DF41)</f>
        <v>31.43922463636363</v>
      </c>
      <c r="CY55" s="132">
        <f t="shared" si="51"/>
        <v>84.213893091579507</v>
      </c>
      <c r="CZ55" s="743"/>
    </row>
    <row r="56" spans="2:104" x14ac:dyDescent="0.25">
      <c r="B56" s="648"/>
      <c r="C56" s="741"/>
      <c r="D56" s="657"/>
      <c r="E56" s="122" t="s">
        <v>44</v>
      </c>
      <c r="F56" s="220">
        <f>AVERAGE(F42:F43)</f>
        <v>36.239770130434778</v>
      </c>
      <c r="G56" s="122">
        <f t="shared" si="45"/>
        <v>97.072754265635851</v>
      </c>
      <c r="H56" s="743"/>
      <c r="R56" s="628"/>
      <c r="S56" s="755"/>
      <c r="T56" s="751"/>
      <c r="U56" s="122" t="s">
        <v>48</v>
      </c>
      <c r="V56" s="228">
        <f>AVERAGE(Y42:Y43)</f>
        <v>46.850940384615384</v>
      </c>
      <c r="W56" s="132">
        <f t="shared" si="46"/>
        <v>125.49610018774038</v>
      </c>
      <c r="X56" s="743"/>
      <c r="AH56" s="645"/>
      <c r="AI56" s="739"/>
      <c r="AJ56" s="657"/>
      <c r="AK56" s="132" t="s">
        <v>48</v>
      </c>
      <c r="AL56" s="132">
        <f>AVERAGE(AK42:AK43)</f>
        <v>38.280729090909091</v>
      </c>
      <c r="AM56" s="132">
        <f t="shared" si="47"/>
        <v>102.53971796113636</v>
      </c>
      <c r="AN56" s="743"/>
      <c r="AX56" s="645"/>
      <c r="AY56" s="739"/>
      <c r="AZ56" s="657"/>
      <c r="BA56" s="132" t="s">
        <v>119</v>
      </c>
      <c r="BB56" s="132">
        <f>AVERAGE(BC42:BC43)</f>
        <v>50.479270857142858</v>
      </c>
      <c r="BC56" s="132">
        <f t="shared" si="48"/>
        <v>135.21503689971428</v>
      </c>
      <c r="BD56" s="743"/>
      <c r="BN56" s="645"/>
      <c r="BO56" s="680" t="s">
        <v>150</v>
      </c>
      <c r="BP56" s="680" t="s">
        <v>143</v>
      </c>
      <c r="BQ56" s="163" t="s">
        <v>122</v>
      </c>
      <c r="BR56" s="163">
        <f>AVERAGE(BQ42:BQ43)</f>
        <v>43.760630130434784</v>
      </c>
      <c r="BS56" s="163">
        <f t="shared" si="49"/>
        <v>117.21831788313585</v>
      </c>
      <c r="BT56" s="748">
        <f>AVERAGE(BS56:BS60)</f>
        <v>102.24718543076088</v>
      </c>
      <c r="CD56" s="645"/>
      <c r="CE56" s="666"/>
      <c r="CF56" s="657"/>
      <c r="CG56" s="79" t="s">
        <v>126</v>
      </c>
      <c r="CH56" s="79">
        <f>AVERAGE(CJ42:CJ43)</f>
        <v>58.350523113636356</v>
      </c>
      <c r="CI56" s="79">
        <f t="shared" si="50"/>
        <v>156.29916997526419</v>
      </c>
      <c r="CJ56" s="743"/>
      <c r="CL56">
        <f>STDEV(CI53:CI61)</f>
        <v>23.152401181515884</v>
      </c>
      <c r="CT56" s="628"/>
      <c r="CU56" s="741"/>
      <c r="CV56" s="657"/>
      <c r="CW56" s="132" t="s">
        <v>47</v>
      </c>
      <c r="CX56" s="122">
        <f>AVERAGE(CW42:CW43)</f>
        <v>38.019412636363626</v>
      </c>
      <c r="CY56" s="132">
        <f t="shared" si="51"/>
        <v>101.83974917307951</v>
      </c>
      <c r="CZ56" s="743"/>
    </row>
    <row r="57" spans="2:104" ht="15.75" thickBot="1" x14ac:dyDescent="0.3">
      <c r="B57" s="648"/>
      <c r="C57" s="741"/>
      <c r="D57" s="657"/>
      <c r="E57" s="122" t="s">
        <v>45</v>
      </c>
      <c r="F57" s="220">
        <f>AVERAGE(G42:G43)</f>
        <v>28.99022513043478</v>
      </c>
      <c r="G57" s="122">
        <f t="shared" si="45"/>
        <v>77.653941790010862</v>
      </c>
      <c r="H57" s="743"/>
      <c r="R57" s="629"/>
      <c r="S57" s="762"/>
      <c r="T57" s="631"/>
      <c r="U57" s="123" t="s">
        <v>49</v>
      </c>
      <c r="V57" s="230">
        <f>AVERAGE(Z42:Z43)</f>
        <v>39.874390384615388</v>
      </c>
      <c r="W57" s="203">
        <f t="shared" si="46"/>
        <v>106.80853894399038</v>
      </c>
      <c r="X57" s="749"/>
      <c r="AH57" s="645"/>
      <c r="AI57" s="740"/>
      <c r="AJ57" s="658"/>
      <c r="AK57" s="134" t="s">
        <v>49</v>
      </c>
      <c r="AL57" s="134">
        <f>AVERAGE(AL42:AL43)</f>
        <v>39.487641090909086</v>
      </c>
      <c r="AM57" s="134">
        <f t="shared" si="47"/>
        <v>105.77258261713634</v>
      </c>
      <c r="AN57" s="744"/>
      <c r="AX57" s="645"/>
      <c r="AY57" s="739"/>
      <c r="AZ57" s="657"/>
      <c r="BA57" s="132" t="s">
        <v>120</v>
      </c>
      <c r="BB57" s="132">
        <f>AVERAGE(BD42:BD43)</f>
        <v>41.943418857142859</v>
      </c>
      <c r="BC57" s="132">
        <f t="shared" si="48"/>
        <v>112.3506903362143</v>
      </c>
      <c r="BD57" s="743"/>
      <c r="BN57" s="645"/>
      <c r="BO57" s="657"/>
      <c r="BP57" s="657"/>
      <c r="BQ57" s="79" t="s">
        <v>123</v>
      </c>
      <c r="BR57" s="79">
        <f>AVERAGE(BR42:BR43)</f>
        <v>33.756229130434782</v>
      </c>
      <c r="BS57" s="79">
        <f t="shared" si="49"/>
        <v>90.420279254510874</v>
      </c>
      <c r="BT57" s="743"/>
      <c r="CD57" s="645"/>
      <c r="CE57" s="666"/>
      <c r="CF57" s="657"/>
      <c r="CG57" s="79" t="s">
        <v>117</v>
      </c>
      <c r="CH57" s="79">
        <f>AVERAGE(CK42:CK43)</f>
        <v>39.037211613636359</v>
      </c>
      <c r="CI57" s="79">
        <f t="shared" si="50"/>
        <v>104.5660509585767</v>
      </c>
      <c r="CJ57" s="743"/>
      <c r="CL57">
        <f>CJ53+2*CL56</f>
        <v>149.53608287673347</v>
      </c>
      <c r="CT57" s="628"/>
      <c r="CU57" s="741"/>
      <c r="CV57" s="658"/>
      <c r="CW57" s="134" t="s">
        <v>48</v>
      </c>
      <c r="CX57" s="139">
        <f>AVERAGE(CX42:CX43)</f>
        <v>32.232580636363636</v>
      </c>
      <c r="CY57" s="134">
        <f t="shared" si="51"/>
        <v>86.33899630707954</v>
      </c>
      <c r="CZ57" s="744"/>
    </row>
    <row r="58" spans="2:104" x14ac:dyDescent="0.25">
      <c r="B58" s="648"/>
      <c r="C58" s="741"/>
      <c r="D58" s="657"/>
      <c r="E58" s="122" t="s">
        <v>47</v>
      </c>
      <c r="F58" s="220">
        <f>AVERAGE(H42:H43)</f>
        <v>39.53596613043478</v>
      </c>
      <c r="G58" s="122">
        <f t="shared" si="45"/>
        <v>105.90202727613585</v>
      </c>
      <c r="H58" s="743"/>
      <c r="AH58" s="645"/>
      <c r="AI58" s="657" t="s">
        <v>113</v>
      </c>
      <c r="AJ58" s="680" t="s">
        <v>144</v>
      </c>
      <c r="AK58" s="132" t="s">
        <v>46</v>
      </c>
      <c r="AL58" s="132">
        <f>AVERAGE(AM42:AM43)</f>
        <v>23.420625090909091</v>
      </c>
      <c r="AM58" s="132">
        <f t="shared" si="47"/>
        <v>62.735071884136353</v>
      </c>
      <c r="AN58" s="748">
        <f>AVERAGE(AM58:AM61)</f>
        <v>72.347071263136357</v>
      </c>
      <c r="AX58" s="645"/>
      <c r="AY58" s="739"/>
      <c r="AZ58" s="657"/>
      <c r="BA58" s="132" t="s">
        <v>121</v>
      </c>
      <c r="BB58" s="132">
        <f>AVERAGE(BE42:BE43)</f>
        <v>44.468818857142864</v>
      </c>
      <c r="BC58" s="132">
        <f t="shared" si="48"/>
        <v>119.1152899112143</v>
      </c>
      <c r="BD58" s="743"/>
      <c r="BN58" s="645"/>
      <c r="BO58" s="657"/>
      <c r="BP58" s="657"/>
      <c r="BQ58" s="79" t="s">
        <v>124</v>
      </c>
      <c r="BR58" s="79">
        <f>AVERAGE(BS42:BS43)</f>
        <v>36.179254130434785</v>
      </c>
      <c r="BS58" s="79">
        <f t="shared" si="49"/>
        <v>96.910654595135867</v>
      </c>
      <c r="BT58" s="743"/>
      <c r="CD58" s="645"/>
      <c r="CE58" s="666"/>
      <c r="CF58" s="657"/>
      <c r="CG58" s="79" t="s">
        <v>118</v>
      </c>
      <c r="CH58" s="79">
        <f>AVERAGE(CL42:CL43)</f>
        <v>36.639839613636369</v>
      </c>
      <c r="CI58" s="79">
        <f t="shared" si="50"/>
        <v>98.144390385076704</v>
      </c>
      <c r="CJ58" s="743"/>
      <c r="CT58" s="628"/>
      <c r="CU58" s="741"/>
      <c r="CV58" s="657" t="s">
        <v>144</v>
      </c>
      <c r="CW58" s="132" t="s">
        <v>46</v>
      </c>
      <c r="CX58" s="122">
        <f>AVERAGE(CY42:CY43)</f>
        <v>31.96812863636363</v>
      </c>
      <c r="CY58" s="132">
        <f t="shared" si="51"/>
        <v>85.630628568579525</v>
      </c>
      <c r="CZ58" s="748">
        <f>AVERAGE(CY58:CY60)</f>
        <v>78.012202988829529</v>
      </c>
    </row>
    <row r="59" spans="2:104" x14ac:dyDescent="0.25">
      <c r="B59" s="648"/>
      <c r="C59" s="741"/>
      <c r="D59" s="657"/>
      <c r="E59" s="122" t="s">
        <v>48</v>
      </c>
      <c r="F59" s="220">
        <f>AVERAGE(I42:I43)</f>
        <v>38.19036713043478</v>
      </c>
      <c r="G59" s="122">
        <f t="shared" si="45"/>
        <v>102.29767215476086</v>
      </c>
      <c r="H59" s="743"/>
      <c r="AH59" s="645"/>
      <c r="AI59" s="657"/>
      <c r="AJ59" s="657"/>
      <c r="AK59" s="132" t="s">
        <v>44</v>
      </c>
      <c r="AL59" s="132">
        <f>AVERAGE(AN42:AN43)</f>
        <v>27.731025090909089</v>
      </c>
      <c r="AM59" s="132">
        <f t="shared" si="47"/>
        <v>74.281017084136352</v>
      </c>
      <c r="AN59" s="743"/>
      <c r="AX59" s="645"/>
      <c r="AY59" s="739"/>
      <c r="AZ59" s="657"/>
      <c r="BA59" s="132" t="s">
        <v>122</v>
      </c>
      <c r="BB59" s="132">
        <f>AVERAGE(BF42:BF43)</f>
        <v>43.534420857142862</v>
      </c>
      <c r="BC59" s="132">
        <f t="shared" si="48"/>
        <v>116.6123880684643</v>
      </c>
      <c r="BD59" s="743"/>
      <c r="BN59" s="645"/>
      <c r="BO59" s="657"/>
      <c r="BP59" s="657"/>
      <c r="BQ59" s="79" t="s">
        <v>125</v>
      </c>
      <c r="BR59" s="79">
        <f>AVERAGE(BT42:BT43)</f>
        <v>41.025304130434783</v>
      </c>
      <c r="BS59" s="79">
        <f t="shared" si="49"/>
        <v>109.89140527638587</v>
      </c>
      <c r="BT59" s="743"/>
      <c r="CD59" s="645"/>
      <c r="CE59" s="666"/>
      <c r="CF59" s="657"/>
      <c r="CG59" s="79" t="s">
        <v>119</v>
      </c>
      <c r="CH59" s="79">
        <f>AVERAGE(CM42:CM43)</f>
        <v>27.556693113636367</v>
      </c>
      <c r="CI59" s="79">
        <f t="shared" si="50"/>
        <v>73.814047091514212</v>
      </c>
      <c r="CJ59" s="743"/>
      <c r="CT59" s="628"/>
      <c r="CU59" s="741"/>
      <c r="CV59" s="657"/>
      <c r="CW59" s="132" t="s">
        <v>44</v>
      </c>
      <c r="CX59" s="122">
        <f>AVERAGE(CZ42:CZ43)</f>
        <v>28.203576636363632</v>
      </c>
      <c r="CY59" s="132">
        <f t="shared" si="51"/>
        <v>75.546805467579517</v>
      </c>
      <c r="CZ59" s="743"/>
    </row>
    <row r="60" spans="2:104" ht="15.75" thickBot="1" x14ac:dyDescent="0.3">
      <c r="B60" s="656"/>
      <c r="C60" s="742"/>
      <c r="D60" s="636"/>
      <c r="E60" s="123" t="s">
        <v>49</v>
      </c>
      <c r="F60" s="323">
        <f>AVERAGE(J42:J43)</f>
        <v>34.956757130434781</v>
      </c>
      <c r="G60" s="123">
        <f t="shared" si="45"/>
        <v>93.636043568510843</v>
      </c>
      <c r="H60" s="749"/>
      <c r="AH60" s="645"/>
      <c r="AI60" s="657"/>
      <c r="AJ60" s="657"/>
      <c r="AK60" s="132" t="s">
        <v>45</v>
      </c>
      <c r="AL60" s="132">
        <f>AVERAGE(AO42:AO43)</f>
        <v>29.153457090909093</v>
      </c>
      <c r="AM60" s="132">
        <f t="shared" si="47"/>
        <v>78.091179000136364</v>
      </c>
      <c r="AN60" s="743"/>
      <c r="AX60" s="645"/>
      <c r="AY60" s="739"/>
      <c r="AZ60" s="657"/>
      <c r="BA60" s="132" t="s">
        <v>123</v>
      </c>
      <c r="BB60" s="132">
        <f>AVERAGE(BG42:BG43)</f>
        <v>48.736744857142853</v>
      </c>
      <c r="BC60" s="132">
        <f t="shared" si="48"/>
        <v>130.54746319296427</v>
      </c>
      <c r="BD60" s="743"/>
      <c r="BN60" s="646"/>
      <c r="BO60" s="636"/>
      <c r="BP60" s="636"/>
      <c r="BQ60" s="82" t="s">
        <v>126</v>
      </c>
      <c r="BR60" s="82">
        <f>AVERAGE(BU42:BU43)</f>
        <v>36.136178130434786</v>
      </c>
      <c r="BS60" s="82">
        <f t="shared" si="49"/>
        <v>96.795270144635879</v>
      </c>
      <c r="BT60" s="749"/>
      <c r="CD60" s="645"/>
      <c r="CE60" s="666"/>
      <c r="CF60" s="657"/>
      <c r="CG60" s="79" t="s">
        <v>120</v>
      </c>
      <c r="CH60" s="79">
        <f>AVERAGE(CN42:CN43)</f>
        <v>40.566569613636361</v>
      </c>
      <c r="CI60" s="79">
        <f t="shared" si="50"/>
        <v>108.66262753132669</v>
      </c>
      <c r="CJ60" s="743"/>
      <c r="CT60" s="628"/>
      <c r="CU60" s="741"/>
      <c r="CV60" s="658"/>
      <c r="CW60" s="134" t="s">
        <v>45</v>
      </c>
      <c r="CX60" s="139">
        <f>AVERAGE(DA42:DA43)</f>
        <v>27.200214636363629</v>
      </c>
      <c r="CY60" s="134">
        <f t="shared" si="51"/>
        <v>72.85917493032953</v>
      </c>
      <c r="CZ60" s="744"/>
    </row>
    <row r="61" spans="2:104" ht="15.75" thickBot="1" x14ac:dyDescent="0.3">
      <c r="AH61" s="646"/>
      <c r="AI61" s="636"/>
      <c r="AJ61" s="636"/>
      <c r="AK61" s="203" t="s">
        <v>47</v>
      </c>
      <c r="AL61" s="203">
        <f>AVERAGE(AP42:AP43)</f>
        <v>27.731025090909093</v>
      </c>
      <c r="AM61" s="203">
        <f t="shared" si="47"/>
        <v>74.281017084136366</v>
      </c>
      <c r="AN61" s="749"/>
      <c r="AX61" s="645"/>
      <c r="AY61" s="739"/>
      <c r="AZ61" s="657"/>
      <c r="BA61" s="132" t="s">
        <v>124</v>
      </c>
      <c r="BB61" s="132">
        <f>AVERAGE(BH42:BH43)</f>
        <v>45.958804857142852</v>
      </c>
      <c r="BC61" s="132">
        <f t="shared" si="48"/>
        <v>123.10640366046427</v>
      </c>
      <c r="BD61" s="743"/>
      <c r="CD61" s="646"/>
      <c r="CE61" s="683"/>
      <c r="CF61" s="636"/>
      <c r="CG61" s="82" t="s">
        <v>121</v>
      </c>
      <c r="CH61" s="82">
        <f>AVERAGE(CO42:CO43)</f>
        <v>41.186579613636361</v>
      </c>
      <c r="CI61" s="82">
        <f t="shared" si="50"/>
        <v>110.32340181757668</v>
      </c>
      <c r="CJ61" s="749"/>
      <c r="CT61" s="629"/>
      <c r="CU61" s="742"/>
      <c r="CV61" s="436" t="s">
        <v>149</v>
      </c>
      <c r="CW61" s="203" t="s">
        <v>46</v>
      </c>
      <c r="CX61" s="123">
        <f>AVERAGE(DB42:DB43)</f>
        <v>30.334748636363628</v>
      </c>
      <c r="CY61" s="203">
        <f t="shared" si="51"/>
        <v>81.255416066079519</v>
      </c>
      <c r="CZ61" s="7">
        <f>CY61</f>
        <v>81.255416066079519</v>
      </c>
    </row>
    <row r="62" spans="2:104" ht="15.75" thickBot="1" x14ac:dyDescent="0.3">
      <c r="AX62" s="646"/>
      <c r="AY62" s="781"/>
      <c r="AZ62" s="636"/>
      <c r="BA62" s="203" t="s">
        <v>125</v>
      </c>
      <c r="BB62" s="203">
        <f>AVERAGE(BI42:BI43)</f>
        <v>43.307134857142863</v>
      </c>
      <c r="BC62" s="203">
        <f t="shared" si="48"/>
        <v>116.0035741067143</v>
      </c>
      <c r="BD62" s="749"/>
    </row>
  </sheetData>
  <mergeCells count="103">
    <mergeCell ref="BE11:BK11"/>
    <mergeCell ref="AX36:AX44"/>
    <mergeCell ref="AY46:AY53"/>
    <mergeCell ref="AY54:AY62"/>
    <mergeCell ref="AX45:AX62"/>
    <mergeCell ref="AZ46:AZ53"/>
    <mergeCell ref="AZ54:AZ62"/>
    <mergeCell ref="BD54:BD62"/>
    <mergeCell ref="BD46:BD53"/>
    <mergeCell ref="AH1:AU1"/>
    <mergeCell ref="AX2:AX10"/>
    <mergeCell ref="AX11:BD11"/>
    <mergeCell ref="AX12:AX20"/>
    <mergeCell ref="AX21:AX35"/>
    <mergeCell ref="AH2:AH10"/>
    <mergeCell ref="AH11:AN11"/>
    <mergeCell ref="AO11:AU11"/>
    <mergeCell ref="AH12:AH20"/>
    <mergeCell ref="AI58:AI61"/>
    <mergeCell ref="AH45:AH61"/>
    <mergeCell ref="AH21:AH35"/>
    <mergeCell ref="AJ58:AJ61"/>
    <mergeCell ref="AJ52:AJ57"/>
    <mergeCell ref="AJ46:AJ51"/>
    <mergeCell ref="AN58:AN61"/>
    <mergeCell ref="AN52:AN57"/>
    <mergeCell ref="AN46:AN51"/>
    <mergeCell ref="X52:X57"/>
    <mergeCell ref="R12:R20"/>
    <mergeCell ref="B11:H11"/>
    <mergeCell ref="I11:O11"/>
    <mergeCell ref="B21:B35"/>
    <mergeCell ref="R21:R35"/>
    <mergeCell ref="AH36:AH44"/>
    <mergeCell ref="AI46:AI51"/>
    <mergeCell ref="AI52:AI57"/>
    <mergeCell ref="R11:X11"/>
    <mergeCell ref="B1:O1"/>
    <mergeCell ref="B2:B10"/>
    <mergeCell ref="R2:R10"/>
    <mergeCell ref="B12:B20"/>
    <mergeCell ref="R1:AE1"/>
    <mergeCell ref="B36:B44"/>
    <mergeCell ref="D55:D60"/>
    <mergeCell ref="D50:D54"/>
    <mergeCell ref="D46:D49"/>
    <mergeCell ref="C55:C60"/>
    <mergeCell ref="C50:C54"/>
    <mergeCell ref="C46:C49"/>
    <mergeCell ref="B45:B60"/>
    <mergeCell ref="H55:H60"/>
    <mergeCell ref="H50:H54"/>
    <mergeCell ref="H46:H49"/>
    <mergeCell ref="Y11:AE11"/>
    <mergeCell ref="R36:R44"/>
    <mergeCell ref="S46:S51"/>
    <mergeCell ref="T46:T51"/>
    <mergeCell ref="S52:S57"/>
    <mergeCell ref="T52:T57"/>
    <mergeCell ref="R45:R57"/>
    <mergeCell ref="X46:X51"/>
    <mergeCell ref="BU11:CA11"/>
    <mergeCell ref="BN45:BN60"/>
    <mergeCell ref="BO46:BO55"/>
    <mergeCell ref="BO56:BO60"/>
    <mergeCell ref="BP46:BP55"/>
    <mergeCell ref="BP56:BP60"/>
    <mergeCell ref="BT56:BT60"/>
    <mergeCell ref="BT46:BT55"/>
    <mergeCell ref="BN2:BN10"/>
    <mergeCell ref="BN11:BT11"/>
    <mergeCell ref="BN12:BN20"/>
    <mergeCell ref="BN21:BN35"/>
    <mergeCell ref="BN36:BN44"/>
    <mergeCell ref="CD36:CD44"/>
    <mergeCell ref="CD45:CD61"/>
    <mergeCell ref="CE53:CE61"/>
    <mergeCell ref="CE46:CE52"/>
    <mergeCell ref="CD2:CD10"/>
    <mergeCell ref="CD11:CJ11"/>
    <mergeCell ref="CK11:CQ11"/>
    <mergeCell ref="CD12:CD20"/>
    <mergeCell ref="CD21:CD35"/>
    <mergeCell ref="CT2:CT10"/>
    <mergeCell ref="CT11:CZ11"/>
    <mergeCell ref="DA11:DG11"/>
    <mergeCell ref="CT12:CT20"/>
    <mergeCell ref="CT21:CT35"/>
    <mergeCell ref="CF53:CF61"/>
    <mergeCell ref="CF46:CF52"/>
    <mergeCell ref="CJ53:CJ61"/>
    <mergeCell ref="CJ46:CJ52"/>
    <mergeCell ref="CZ58:CZ60"/>
    <mergeCell ref="CZ53:CZ57"/>
    <mergeCell ref="CZ48:CZ52"/>
    <mergeCell ref="CZ46:CZ47"/>
    <mergeCell ref="CT36:CT44"/>
    <mergeCell ref="CT45:CT61"/>
    <mergeCell ref="CU46:CU61"/>
    <mergeCell ref="CV58:CV60"/>
    <mergeCell ref="CV53:CV57"/>
    <mergeCell ref="CV48:CV52"/>
    <mergeCell ref="CV46:CV47"/>
  </mergeCells>
  <hyperlinks>
    <hyperlink ref="A1" location="'Table of Contents'!A1" display="Table of Contents" xr:uid="{9F706247-3589-4E36-B4DC-F5DDBF783291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AEB9-A02F-45E6-AA7D-B8C6F806AC7E}">
  <sheetPr codeName="Sheet6"/>
  <dimension ref="A1:M131"/>
  <sheetViews>
    <sheetView topLeftCell="A102" zoomScaleNormal="100" workbookViewId="0">
      <selection activeCell="P121" sqref="P121"/>
    </sheetView>
  </sheetViews>
  <sheetFormatPr defaultRowHeight="15" x14ac:dyDescent="0.25"/>
  <cols>
    <col min="1" max="1" width="16.85546875" style="37" customWidth="1"/>
    <col min="2" max="2" width="11.7109375" style="37" customWidth="1"/>
    <col min="3" max="3" width="10.85546875" style="37" customWidth="1"/>
    <col min="4" max="4" width="12.85546875" style="37" customWidth="1"/>
    <col min="5" max="16384" width="9.140625" style="37"/>
  </cols>
  <sheetData>
    <row r="1" spans="1:13" x14ac:dyDescent="0.25">
      <c r="A1" s="38" t="s">
        <v>9</v>
      </c>
      <c r="B1" s="627" t="s">
        <v>8</v>
      </c>
      <c r="C1" s="638" t="s">
        <v>38</v>
      </c>
      <c r="D1" s="638" t="s">
        <v>10</v>
      </c>
      <c r="E1" s="701" t="s">
        <v>43</v>
      </c>
      <c r="F1" s="640" t="s">
        <v>52</v>
      </c>
      <c r="G1" s="634"/>
      <c r="H1" s="634"/>
      <c r="I1" s="637"/>
      <c r="J1" s="634" t="s">
        <v>53</v>
      </c>
      <c r="K1" s="634"/>
      <c r="L1" s="634"/>
      <c r="M1" s="637"/>
    </row>
    <row r="2" spans="1:13" ht="15.75" thickBot="1" x14ac:dyDescent="0.3">
      <c r="B2" s="628"/>
      <c r="C2" s="696"/>
      <c r="D2" s="696"/>
      <c r="E2" s="669"/>
      <c r="F2" s="34" t="s">
        <v>39</v>
      </c>
      <c r="G2" s="40" t="s">
        <v>40</v>
      </c>
      <c r="H2" s="40" t="s">
        <v>41</v>
      </c>
      <c r="I2" s="41" t="s">
        <v>2</v>
      </c>
      <c r="J2" s="40" t="s">
        <v>39</v>
      </c>
      <c r="K2" s="40" t="s">
        <v>40</v>
      </c>
      <c r="L2" s="40" t="s">
        <v>41</v>
      </c>
      <c r="M2" s="42" t="s">
        <v>2</v>
      </c>
    </row>
    <row r="3" spans="1:13" x14ac:dyDescent="0.25">
      <c r="B3" s="644" t="s">
        <v>24</v>
      </c>
      <c r="C3" s="635" t="s">
        <v>42</v>
      </c>
      <c r="D3" s="635" t="s">
        <v>26</v>
      </c>
      <c r="E3" s="39" t="s">
        <v>46</v>
      </c>
      <c r="F3" s="43">
        <v>1.91</v>
      </c>
      <c r="G3" s="39">
        <v>1.92</v>
      </c>
      <c r="H3" s="39">
        <v>1.75</v>
      </c>
      <c r="I3" s="68">
        <f t="shared" ref="I3:I47" si="0">AVERAGE(F3:H3)</f>
        <v>1.86</v>
      </c>
      <c r="J3" s="39">
        <v>0.51</v>
      </c>
      <c r="K3" s="39">
        <v>0.44</v>
      </c>
      <c r="L3" s="39"/>
      <c r="M3" s="68">
        <f>AVERAGE(J3:L3)</f>
        <v>0.47499999999999998</v>
      </c>
    </row>
    <row r="4" spans="1:13" x14ac:dyDescent="0.25">
      <c r="B4" s="645"/>
      <c r="C4" s="657"/>
      <c r="D4" s="657"/>
      <c r="E4" s="66" t="s">
        <v>44</v>
      </c>
      <c r="F4" s="67">
        <v>1.96</v>
      </c>
      <c r="G4" s="66">
        <v>1.87</v>
      </c>
      <c r="H4" s="66">
        <v>1.81</v>
      </c>
      <c r="I4" s="69">
        <f t="shared" si="0"/>
        <v>1.8800000000000001</v>
      </c>
      <c r="J4" s="66"/>
      <c r="K4" s="66"/>
      <c r="L4" s="66"/>
      <c r="M4" s="69"/>
    </row>
    <row r="5" spans="1:13" x14ac:dyDescent="0.25">
      <c r="B5" s="645"/>
      <c r="C5" s="657"/>
      <c r="D5" s="657"/>
      <c r="E5" s="37" t="s">
        <v>45</v>
      </c>
      <c r="F5" s="44">
        <v>1.95</v>
      </c>
      <c r="G5" s="37">
        <v>1.72</v>
      </c>
      <c r="H5" s="37">
        <v>1.63</v>
      </c>
      <c r="I5" s="70">
        <f t="shared" si="0"/>
        <v>1.7666666666666666</v>
      </c>
      <c r="J5" s="37">
        <v>0.48</v>
      </c>
      <c r="K5" s="37">
        <v>0.47</v>
      </c>
      <c r="M5" s="70">
        <f t="shared" ref="M5:M47" si="1">AVERAGE(J5:L5)</f>
        <v>0.47499999999999998</v>
      </c>
    </row>
    <row r="6" spans="1:13" x14ac:dyDescent="0.25">
      <c r="B6" s="645"/>
      <c r="C6" s="657"/>
      <c r="D6" s="657"/>
      <c r="E6" s="37" t="s">
        <v>47</v>
      </c>
      <c r="F6" s="44">
        <v>1.74</v>
      </c>
      <c r="G6" s="37">
        <v>1.5</v>
      </c>
      <c r="H6" s="37">
        <v>1.53</v>
      </c>
      <c r="I6" s="70">
        <f t="shared" si="0"/>
        <v>1.59</v>
      </c>
      <c r="J6" s="37">
        <v>0.46</v>
      </c>
      <c r="K6" s="37">
        <v>0.43</v>
      </c>
      <c r="M6" s="70">
        <f t="shared" si="1"/>
        <v>0.44500000000000001</v>
      </c>
    </row>
    <row r="7" spans="1:13" x14ac:dyDescent="0.25">
      <c r="B7" s="645"/>
      <c r="C7" s="657"/>
      <c r="D7" s="657"/>
      <c r="E7" s="66" t="s">
        <v>48</v>
      </c>
      <c r="F7" s="67">
        <v>2.64</v>
      </c>
      <c r="G7" s="66">
        <v>2.34</v>
      </c>
      <c r="H7" s="66">
        <v>2.63</v>
      </c>
      <c r="I7" s="69">
        <f t="shared" si="0"/>
        <v>2.5366666666666666</v>
      </c>
      <c r="J7" s="66"/>
      <c r="K7" s="66"/>
      <c r="L7" s="66"/>
      <c r="M7" s="69"/>
    </row>
    <row r="8" spans="1:13" ht="15.75" thickBot="1" x14ac:dyDescent="0.3">
      <c r="B8" s="646"/>
      <c r="C8" s="636"/>
      <c r="D8" s="636"/>
      <c r="E8" s="33" t="s">
        <v>49</v>
      </c>
      <c r="F8" s="32">
        <v>1.61</v>
      </c>
      <c r="G8" s="33">
        <v>1.31</v>
      </c>
      <c r="H8" s="33">
        <v>1.31</v>
      </c>
      <c r="I8" s="71">
        <f t="shared" si="0"/>
        <v>1.4100000000000001</v>
      </c>
      <c r="J8" s="33">
        <v>0.33</v>
      </c>
      <c r="K8" s="33">
        <v>0.28999999999999998</v>
      </c>
      <c r="L8" s="33"/>
      <c r="M8" s="71">
        <f t="shared" si="1"/>
        <v>0.31</v>
      </c>
    </row>
    <row r="9" spans="1:13" x14ac:dyDescent="0.25">
      <c r="B9" s="644" t="s">
        <v>28</v>
      </c>
      <c r="C9" s="635" t="s">
        <v>63</v>
      </c>
      <c r="D9" s="635" t="s">
        <v>12</v>
      </c>
      <c r="E9" s="39" t="s">
        <v>46</v>
      </c>
      <c r="F9" s="43">
        <v>2.2599999999999998</v>
      </c>
      <c r="G9" s="39">
        <v>1.94</v>
      </c>
      <c r="H9" s="39">
        <v>2.39</v>
      </c>
      <c r="I9" s="68">
        <f t="shared" si="0"/>
        <v>2.1966666666666668</v>
      </c>
      <c r="J9" s="39">
        <v>0.56999999999999995</v>
      </c>
      <c r="K9" s="39">
        <v>0.56000000000000005</v>
      </c>
      <c r="L9" s="39"/>
      <c r="M9" s="68">
        <f t="shared" si="1"/>
        <v>0.56499999999999995</v>
      </c>
    </row>
    <row r="10" spans="1:13" x14ac:dyDescent="0.25">
      <c r="B10" s="645"/>
      <c r="C10" s="657"/>
      <c r="D10" s="657"/>
      <c r="E10" s="37" t="s">
        <v>44</v>
      </c>
      <c r="F10" s="44">
        <v>1.5</v>
      </c>
      <c r="G10" s="37">
        <v>1.32</v>
      </c>
      <c r="H10" s="37">
        <v>1.45</v>
      </c>
      <c r="I10" s="70">
        <f t="shared" si="0"/>
        <v>1.4233333333333336</v>
      </c>
      <c r="J10" s="37">
        <v>0.42</v>
      </c>
      <c r="K10" s="37">
        <v>0.42</v>
      </c>
      <c r="M10" s="70">
        <f t="shared" si="1"/>
        <v>0.42</v>
      </c>
    </row>
    <row r="11" spans="1:13" x14ac:dyDescent="0.25">
      <c r="B11" s="645"/>
      <c r="C11" s="657"/>
      <c r="D11" s="657"/>
      <c r="E11" s="37" t="s">
        <v>45</v>
      </c>
      <c r="F11" s="44">
        <v>1.1599999999999999</v>
      </c>
      <c r="G11" s="37">
        <v>1.28</v>
      </c>
      <c r="H11" s="37">
        <v>1.37</v>
      </c>
      <c r="I11" s="70">
        <f t="shared" si="0"/>
        <v>1.27</v>
      </c>
      <c r="J11" s="37">
        <v>0.46</v>
      </c>
      <c r="K11" s="37">
        <v>0.41</v>
      </c>
      <c r="M11" s="70">
        <f t="shared" si="1"/>
        <v>0.435</v>
      </c>
    </row>
    <row r="12" spans="1:13" x14ac:dyDescent="0.25">
      <c r="B12" s="645"/>
      <c r="C12" s="657"/>
      <c r="D12" s="657"/>
      <c r="E12" s="37" t="s">
        <v>47</v>
      </c>
      <c r="F12" s="44">
        <v>1.74</v>
      </c>
      <c r="G12" s="37">
        <v>1.68</v>
      </c>
      <c r="H12" s="37">
        <v>1.81</v>
      </c>
      <c r="I12" s="70">
        <f t="shared" si="0"/>
        <v>1.7433333333333334</v>
      </c>
      <c r="J12" s="37">
        <v>0.51</v>
      </c>
      <c r="K12" s="37">
        <v>0.51</v>
      </c>
      <c r="M12" s="70">
        <f t="shared" si="1"/>
        <v>0.51</v>
      </c>
    </row>
    <row r="13" spans="1:13" ht="15.75" thickBot="1" x14ac:dyDescent="0.3">
      <c r="B13" s="646"/>
      <c r="C13" s="636"/>
      <c r="D13" s="636"/>
      <c r="E13" s="33" t="s">
        <v>48</v>
      </c>
      <c r="F13" s="32">
        <v>1.34</v>
      </c>
      <c r="G13" s="33">
        <v>1.32</v>
      </c>
      <c r="H13" s="33">
        <v>1.68</v>
      </c>
      <c r="I13" s="71">
        <f t="shared" si="0"/>
        <v>1.4466666666666665</v>
      </c>
      <c r="J13" s="33">
        <v>0.41</v>
      </c>
      <c r="K13" s="33">
        <v>0.43</v>
      </c>
      <c r="L13" s="33"/>
      <c r="M13" s="71">
        <f t="shared" si="1"/>
        <v>0.42</v>
      </c>
    </row>
    <row r="14" spans="1:13" x14ac:dyDescent="0.25">
      <c r="B14" s="644" t="s">
        <v>31</v>
      </c>
      <c r="C14" s="635" t="s">
        <v>42</v>
      </c>
      <c r="D14" s="635" t="s">
        <v>11</v>
      </c>
      <c r="E14" s="39" t="s">
        <v>46</v>
      </c>
      <c r="F14" s="43">
        <v>1.52</v>
      </c>
      <c r="G14" s="39">
        <v>1.75</v>
      </c>
      <c r="H14" s="39">
        <v>1.76</v>
      </c>
      <c r="I14" s="68">
        <f t="shared" ref="I14:I19" si="2">AVERAGE(F14:H14)</f>
        <v>1.6766666666666667</v>
      </c>
      <c r="J14" s="39">
        <v>0.52</v>
      </c>
      <c r="K14" s="39">
        <v>0.53</v>
      </c>
      <c r="L14" s="39"/>
      <c r="M14" s="68">
        <f t="shared" ref="M14:M19" si="3">AVERAGE(J14:L14)</f>
        <v>0.52500000000000002</v>
      </c>
    </row>
    <row r="15" spans="1:13" x14ac:dyDescent="0.25">
      <c r="B15" s="645"/>
      <c r="C15" s="657"/>
      <c r="D15" s="657"/>
      <c r="E15" s="37" t="s">
        <v>44</v>
      </c>
      <c r="F15" s="44">
        <v>1.48</v>
      </c>
      <c r="G15" s="37">
        <v>1.9</v>
      </c>
      <c r="H15" s="37">
        <v>1.68</v>
      </c>
      <c r="I15" s="70">
        <f t="shared" si="2"/>
        <v>1.6866666666666665</v>
      </c>
      <c r="J15" s="37">
        <v>0.38</v>
      </c>
      <c r="K15" s="37">
        <v>0.52</v>
      </c>
      <c r="L15" s="37">
        <v>0.55000000000000004</v>
      </c>
      <c r="M15" s="70">
        <f t="shared" si="3"/>
        <v>0.48333333333333339</v>
      </c>
    </row>
    <row r="16" spans="1:13" x14ac:dyDescent="0.25">
      <c r="B16" s="645"/>
      <c r="C16" s="657"/>
      <c r="D16" s="657"/>
      <c r="E16" s="37" t="s">
        <v>45</v>
      </c>
      <c r="F16" s="44">
        <v>1.36</v>
      </c>
      <c r="G16" s="37">
        <v>1.49</v>
      </c>
      <c r="H16" s="37">
        <v>1.64</v>
      </c>
      <c r="I16" s="70">
        <f t="shared" si="2"/>
        <v>1.4966666666666668</v>
      </c>
      <c r="J16" s="37">
        <v>0.49</v>
      </c>
      <c r="K16" s="37">
        <v>0.53</v>
      </c>
      <c r="M16" s="70">
        <f t="shared" si="3"/>
        <v>0.51</v>
      </c>
    </row>
    <row r="17" spans="2:13" x14ac:dyDescent="0.25">
      <c r="B17" s="645"/>
      <c r="C17" s="657"/>
      <c r="D17" s="657"/>
      <c r="E17" s="37" t="s">
        <v>47</v>
      </c>
      <c r="F17" s="44">
        <v>1.22</v>
      </c>
      <c r="G17" s="37">
        <v>1.59</v>
      </c>
      <c r="H17" s="37">
        <v>1.55</v>
      </c>
      <c r="I17" s="70">
        <f t="shared" si="2"/>
        <v>1.4533333333333334</v>
      </c>
      <c r="J17" s="37">
        <v>0.51</v>
      </c>
      <c r="K17" s="37">
        <v>0.51</v>
      </c>
      <c r="M17" s="70">
        <f t="shared" si="3"/>
        <v>0.51</v>
      </c>
    </row>
    <row r="18" spans="2:13" x14ac:dyDescent="0.25">
      <c r="B18" s="645"/>
      <c r="C18" s="657"/>
      <c r="D18" s="657"/>
      <c r="E18" s="37" t="s">
        <v>48</v>
      </c>
      <c r="F18" s="44">
        <v>0.91</v>
      </c>
      <c r="G18" s="37">
        <v>1.1000000000000001</v>
      </c>
      <c r="H18" s="37">
        <v>1.51</v>
      </c>
      <c r="I18" s="70">
        <f t="shared" si="2"/>
        <v>1.1733333333333336</v>
      </c>
      <c r="J18" s="37">
        <v>0.46</v>
      </c>
      <c r="K18" s="37">
        <v>0.49</v>
      </c>
      <c r="M18" s="70">
        <f t="shared" si="3"/>
        <v>0.47499999999999998</v>
      </c>
    </row>
    <row r="19" spans="2:13" ht="15.75" thickBot="1" x14ac:dyDescent="0.3">
      <c r="B19" s="646"/>
      <c r="C19" s="636"/>
      <c r="D19" s="636"/>
      <c r="E19" s="33" t="s">
        <v>49</v>
      </c>
      <c r="F19" s="32">
        <v>1.39</v>
      </c>
      <c r="G19" s="33">
        <v>1.71</v>
      </c>
      <c r="H19" s="33">
        <v>1.8</v>
      </c>
      <c r="I19" s="70">
        <f t="shared" si="2"/>
        <v>1.6333333333333331</v>
      </c>
      <c r="J19" s="33">
        <v>0.51</v>
      </c>
      <c r="K19" s="33">
        <v>0.52</v>
      </c>
      <c r="L19" s="33"/>
      <c r="M19" s="71">
        <f t="shared" si="3"/>
        <v>0.51500000000000001</v>
      </c>
    </row>
    <row r="20" spans="2:13" x14ac:dyDescent="0.25">
      <c r="B20" s="644" t="s">
        <v>34</v>
      </c>
      <c r="C20" s="635" t="s">
        <v>63</v>
      </c>
      <c r="D20" s="635" t="s">
        <v>26</v>
      </c>
      <c r="E20" s="39" t="s">
        <v>46</v>
      </c>
      <c r="F20" s="43">
        <v>1.86</v>
      </c>
      <c r="G20" s="39">
        <v>3.3</v>
      </c>
      <c r="H20" s="39">
        <v>1.97</v>
      </c>
      <c r="I20" s="68">
        <f t="shared" si="0"/>
        <v>2.3766666666666665</v>
      </c>
      <c r="J20" s="39">
        <v>0.6</v>
      </c>
      <c r="K20" s="39">
        <v>0.54</v>
      </c>
      <c r="L20" s="39"/>
      <c r="M20" s="68">
        <f t="shared" si="1"/>
        <v>0.57000000000000006</v>
      </c>
    </row>
    <row r="21" spans="2:13" x14ac:dyDescent="0.25">
      <c r="B21" s="645"/>
      <c r="C21" s="657"/>
      <c r="D21" s="657"/>
      <c r="E21" s="37" t="s">
        <v>44</v>
      </c>
      <c r="F21" s="44">
        <v>2.0499999999999998</v>
      </c>
      <c r="G21" s="37">
        <v>1.77</v>
      </c>
      <c r="H21" s="37">
        <v>1.86</v>
      </c>
      <c r="I21" s="70">
        <f t="shared" si="0"/>
        <v>1.8933333333333333</v>
      </c>
      <c r="J21" s="37">
        <v>0.56000000000000005</v>
      </c>
      <c r="K21" s="37">
        <v>0.56000000000000005</v>
      </c>
      <c r="M21" s="70">
        <f t="shared" si="1"/>
        <v>0.56000000000000005</v>
      </c>
    </row>
    <row r="22" spans="2:13" x14ac:dyDescent="0.25">
      <c r="B22" s="645"/>
      <c r="C22" s="657"/>
      <c r="D22" s="657"/>
      <c r="E22" s="37" t="s">
        <v>45</v>
      </c>
      <c r="F22" s="44">
        <v>1.55</v>
      </c>
      <c r="G22" s="37">
        <v>1.74</v>
      </c>
      <c r="H22" s="37">
        <v>1.8</v>
      </c>
      <c r="I22" s="70">
        <f t="shared" si="0"/>
        <v>1.6966666666666665</v>
      </c>
      <c r="J22" s="37">
        <v>0.46</v>
      </c>
      <c r="K22" s="37">
        <v>0.48</v>
      </c>
      <c r="M22" s="70">
        <f t="shared" si="1"/>
        <v>0.47</v>
      </c>
    </row>
    <row r="23" spans="2:13" x14ac:dyDescent="0.25">
      <c r="B23" s="645"/>
      <c r="C23" s="657"/>
      <c r="D23" s="657"/>
      <c r="E23" s="37" t="s">
        <v>47</v>
      </c>
      <c r="F23" s="44">
        <v>2.04</v>
      </c>
      <c r="G23" s="37">
        <v>1.79</v>
      </c>
      <c r="H23" s="37">
        <v>1.79</v>
      </c>
      <c r="I23" s="70">
        <f t="shared" si="0"/>
        <v>1.8733333333333333</v>
      </c>
      <c r="J23" s="37">
        <v>0.53</v>
      </c>
      <c r="K23" s="37">
        <v>0.53</v>
      </c>
      <c r="M23" s="70">
        <f t="shared" si="1"/>
        <v>0.53</v>
      </c>
    </row>
    <row r="24" spans="2:13" x14ac:dyDescent="0.25">
      <c r="B24" s="645"/>
      <c r="C24" s="657"/>
      <c r="D24" s="657"/>
      <c r="E24" s="37" t="s">
        <v>48</v>
      </c>
      <c r="F24" s="44">
        <v>1.94</v>
      </c>
      <c r="G24" s="37">
        <v>2.04</v>
      </c>
      <c r="H24" s="37">
        <v>2.0699999999999998</v>
      </c>
      <c r="I24" s="70">
        <f t="shared" si="0"/>
        <v>2.0166666666666666</v>
      </c>
      <c r="J24" s="37">
        <v>0.55000000000000004</v>
      </c>
      <c r="K24" s="37">
        <v>0.53</v>
      </c>
      <c r="M24" s="70">
        <f t="shared" si="1"/>
        <v>0.54</v>
      </c>
    </row>
    <row r="25" spans="2:13" ht="15.75" thickBot="1" x14ac:dyDescent="0.3">
      <c r="B25" s="646"/>
      <c r="C25" s="636"/>
      <c r="D25" s="636"/>
      <c r="E25" s="33" t="s">
        <v>49</v>
      </c>
      <c r="F25" s="32">
        <v>1.88</v>
      </c>
      <c r="G25" s="33">
        <v>1.95</v>
      </c>
      <c r="H25" s="33">
        <v>1.84</v>
      </c>
      <c r="I25" s="71">
        <f t="shared" si="0"/>
        <v>1.89</v>
      </c>
      <c r="J25" s="33">
        <v>0.52</v>
      </c>
      <c r="K25" s="33">
        <v>0.53</v>
      </c>
      <c r="L25" s="33"/>
      <c r="M25" s="71">
        <f t="shared" si="1"/>
        <v>0.52500000000000002</v>
      </c>
    </row>
    <row r="26" spans="2:13" x14ac:dyDescent="0.25">
      <c r="B26" s="644" t="s">
        <v>35</v>
      </c>
      <c r="C26" s="635" t="s">
        <v>63</v>
      </c>
      <c r="D26" s="635" t="s">
        <v>11</v>
      </c>
      <c r="E26" s="39" t="s">
        <v>46</v>
      </c>
      <c r="F26" s="43">
        <v>2.35</v>
      </c>
      <c r="G26" s="39">
        <v>1.61</v>
      </c>
      <c r="H26" s="39">
        <v>1.72</v>
      </c>
      <c r="I26" s="68">
        <f t="shared" si="0"/>
        <v>1.8933333333333333</v>
      </c>
      <c r="J26" s="39">
        <v>0.47</v>
      </c>
      <c r="K26" s="39">
        <v>0.55000000000000004</v>
      </c>
      <c r="L26" s="39">
        <v>0.54</v>
      </c>
      <c r="M26" s="68">
        <f t="shared" si="1"/>
        <v>0.52</v>
      </c>
    </row>
    <row r="27" spans="2:13" x14ac:dyDescent="0.25">
      <c r="B27" s="645"/>
      <c r="C27" s="657"/>
      <c r="D27" s="657"/>
      <c r="E27" s="37" t="s">
        <v>44</v>
      </c>
      <c r="F27" s="44">
        <v>1.62</v>
      </c>
      <c r="G27" s="37">
        <v>1.64</v>
      </c>
      <c r="H27" s="37">
        <v>1.76</v>
      </c>
      <c r="I27" s="70">
        <f t="shared" si="0"/>
        <v>1.6733333333333331</v>
      </c>
      <c r="J27" s="37">
        <v>0.45</v>
      </c>
      <c r="K27" s="37">
        <v>0.5</v>
      </c>
      <c r="M27" s="70">
        <f t="shared" si="1"/>
        <v>0.47499999999999998</v>
      </c>
    </row>
    <row r="28" spans="2:13" x14ac:dyDescent="0.25">
      <c r="B28" s="645"/>
      <c r="C28" s="657"/>
      <c r="D28" s="657"/>
      <c r="E28" s="37" t="s">
        <v>45</v>
      </c>
      <c r="F28" s="44">
        <v>1.98</v>
      </c>
      <c r="G28" s="37">
        <v>2.2000000000000002</v>
      </c>
      <c r="H28" s="37">
        <v>2.0699999999999998</v>
      </c>
      <c r="I28" s="70">
        <f t="shared" si="0"/>
        <v>2.0833333333333335</v>
      </c>
      <c r="J28" s="37">
        <v>0.53</v>
      </c>
      <c r="K28" s="37">
        <v>0.56999999999999995</v>
      </c>
      <c r="M28" s="70">
        <f>AVERAGE(J28:L28)</f>
        <v>0.55000000000000004</v>
      </c>
    </row>
    <row r="29" spans="2:13" x14ac:dyDescent="0.25">
      <c r="B29" s="645"/>
      <c r="C29" s="657"/>
      <c r="D29" s="657"/>
      <c r="E29" s="37" t="s">
        <v>47</v>
      </c>
      <c r="F29" s="44">
        <v>1.92</v>
      </c>
      <c r="G29" s="37">
        <v>2.2999999999999998</v>
      </c>
      <c r="H29" s="37">
        <v>2.17</v>
      </c>
      <c r="I29" s="70">
        <f t="shared" si="0"/>
        <v>2.13</v>
      </c>
      <c r="J29" s="37">
        <v>0.54</v>
      </c>
      <c r="K29" s="37">
        <v>0.51</v>
      </c>
      <c r="L29" s="37">
        <v>0.51</v>
      </c>
      <c r="M29" s="70">
        <f>AVERAGE(J29:L29)</f>
        <v>0.52</v>
      </c>
    </row>
    <row r="30" spans="2:13" x14ac:dyDescent="0.25">
      <c r="B30" s="645"/>
      <c r="C30" s="657"/>
      <c r="D30" s="657"/>
      <c r="E30" s="37" t="s">
        <v>48</v>
      </c>
      <c r="F30" s="44">
        <v>3.95</v>
      </c>
      <c r="G30" s="37">
        <v>2.63</v>
      </c>
      <c r="H30" s="37">
        <v>2.63</v>
      </c>
      <c r="I30" s="70">
        <f t="shared" si="0"/>
        <v>3.0700000000000003</v>
      </c>
      <c r="J30" s="44">
        <v>0.67</v>
      </c>
      <c r="K30" s="37">
        <v>0.67</v>
      </c>
      <c r="L30" s="72"/>
      <c r="M30" s="70">
        <f>AVERAGE(J29:L29)</f>
        <v>0.52</v>
      </c>
    </row>
    <row r="31" spans="2:13" ht="15.75" thickBot="1" x14ac:dyDescent="0.3">
      <c r="B31" s="646"/>
      <c r="C31" s="636"/>
      <c r="D31" s="636"/>
      <c r="E31" s="33" t="s">
        <v>49</v>
      </c>
      <c r="F31" s="32">
        <v>2.65</v>
      </c>
      <c r="G31" s="33">
        <v>2.62</v>
      </c>
      <c r="H31" s="33">
        <v>2.84</v>
      </c>
      <c r="I31" s="71">
        <f t="shared" si="0"/>
        <v>2.7033333333333331</v>
      </c>
      <c r="J31" s="37">
        <v>0.73</v>
      </c>
      <c r="K31" s="37">
        <v>0.71</v>
      </c>
      <c r="M31" s="71">
        <f>AVERAGE(J30:L30)</f>
        <v>0.67</v>
      </c>
    </row>
    <row r="32" spans="2:13" x14ac:dyDescent="0.25">
      <c r="B32" s="644" t="s">
        <v>50</v>
      </c>
      <c r="C32" s="635" t="s">
        <v>42</v>
      </c>
      <c r="D32" s="635" t="s">
        <v>37</v>
      </c>
      <c r="E32" s="39" t="s">
        <v>46</v>
      </c>
      <c r="F32" s="43">
        <v>2.2599999999999998</v>
      </c>
      <c r="G32" s="39">
        <v>2.08</v>
      </c>
      <c r="H32" s="39">
        <v>2.34</v>
      </c>
      <c r="I32" s="68">
        <f t="shared" si="0"/>
        <v>2.2266666666666666</v>
      </c>
      <c r="J32" s="39">
        <v>0.53</v>
      </c>
      <c r="K32" s="39">
        <v>0.52</v>
      </c>
      <c r="L32" s="39"/>
      <c r="M32" s="68">
        <f t="shared" si="1"/>
        <v>0.52500000000000002</v>
      </c>
    </row>
    <row r="33" spans="2:13" x14ac:dyDescent="0.25">
      <c r="B33" s="645"/>
      <c r="C33" s="657"/>
      <c r="D33" s="657"/>
      <c r="E33" s="37" t="s">
        <v>44</v>
      </c>
      <c r="F33" s="44">
        <v>2.2799999999999998</v>
      </c>
      <c r="G33" s="37">
        <v>2.27</v>
      </c>
      <c r="H33" s="37">
        <v>2.31</v>
      </c>
      <c r="I33" s="70">
        <f t="shared" si="0"/>
        <v>2.2866666666666666</v>
      </c>
      <c r="J33" s="37">
        <v>0.56000000000000005</v>
      </c>
      <c r="K33" s="37">
        <v>0.6</v>
      </c>
      <c r="M33" s="70">
        <f t="shared" si="1"/>
        <v>0.58000000000000007</v>
      </c>
    </row>
    <row r="34" spans="2:13" x14ac:dyDescent="0.25">
      <c r="B34" s="645"/>
      <c r="C34" s="657"/>
      <c r="D34" s="657"/>
      <c r="E34" s="37" t="s">
        <v>45</v>
      </c>
      <c r="F34" s="44">
        <v>2.1</v>
      </c>
      <c r="G34" s="37">
        <v>1.7</v>
      </c>
      <c r="H34" s="37">
        <v>1.92</v>
      </c>
      <c r="I34" s="70">
        <f t="shared" si="0"/>
        <v>1.9066666666666665</v>
      </c>
      <c r="J34" s="37">
        <v>0.49</v>
      </c>
      <c r="K34" s="37">
        <v>0.49</v>
      </c>
      <c r="M34" s="70">
        <f t="shared" si="1"/>
        <v>0.49</v>
      </c>
    </row>
    <row r="35" spans="2:13" x14ac:dyDescent="0.25">
      <c r="B35" s="645"/>
      <c r="C35" s="657"/>
      <c r="D35" s="657"/>
      <c r="E35" s="37" t="s">
        <v>47</v>
      </c>
      <c r="F35" s="44">
        <v>2.39</v>
      </c>
      <c r="G35" s="37">
        <v>2.19</v>
      </c>
      <c r="H35" s="37">
        <v>2.79</v>
      </c>
      <c r="I35" s="70">
        <f t="shared" si="0"/>
        <v>2.4566666666666666</v>
      </c>
      <c r="J35" s="37">
        <v>0.51</v>
      </c>
      <c r="K35" s="37">
        <v>0.59</v>
      </c>
      <c r="L35" s="37">
        <v>0.55000000000000004</v>
      </c>
      <c r="M35" s="70">
        <f t="shared" si="1"/>
        <v>0.55000000000000004</v>
      </c>
    </row>
    <row r="36" spans="2:13" x14ac:dyDescent="0.25">
      <c r="B36" s="645"/>
      <c r="C36" s="657"/>
      <c r="D36" s="657"/>
      <c r="E36" s="37" t="s">
        <v>48</v>
      </c>
      <c r="F36" s="44">
        <v>2.33</v>
      </c>
      <c r="G36" s="37">
        <v>2.12</v>
      </c>
      <c r="H36" s="37">
        <v>2.15</v>
      </c>
      <c r="I36" s="70">
        <f t="shared" si="0"/>
        <v>2.1999999999999997</v>
      </c>
      <c r="J36" s="37">
        <v>0.55000000000000004</v>
      </c>
      <c r="K36" s="37">
        <v>0.63</v>
      </c>
      <c r="L36" s="37">
        <v>0.65</v>
      </c>
      <c r="M36" s="70">
        <f t="shared" si="1"/>
        <v>0.61</v>
      </c>
    </row>
    <row r="37" spans="2:13" ht="15.75" thickBot="1" x14ac:dyDescent="0.3">
      <c r="B37" s="646"/>
      <c r="C37" s="636"/>
      <c r="D37" s="636"/>
      <c r="E37" s="33" t="s">
        <v>49</v>
      </c>
      <c r="F37" s="32">
        <v>1.66</v>
      </c>
      <c r="G37" s="33">
        <v>2.6</v>
      </c>
      <c r="H37" s="33">
        <v>1.78</v>
      </c>
      <c r="I37" s="71">
        <f t="shared" si="0"/>
        <v>2.0133333333333332</v>
      </c>
      <c r="J37" s="33">
        <v>0.52</v>
      </c>
      <c r="K37" s="33">
        <v>0.54</v>
      </c>
      <c r="L37" s="33"/>
      <c r="M37" s="71">
        <f t="shared" si="1"/>
        <v>0.53</v>
      </c>
    </row>
    <row r="38" spans="2:13" x14ac:dyDescent="0.25">
      <c r="B38" s="627" t="s">
        <v>51</v>
      </c>
      <c r="C38" s="635" t="s">
        <v>42</v>
      </c>
      <c r="D38" s="635" t="s">
        <v>12</v>
      </c>
      <c r="E38" s="39" t="s">
        <v>46</v>
      </c>
      <c r="F38" s="43">
        <v>1.96</v>
      </c>
      <c r="G38" s="39">
        <v>2.0099999999999998</v>
      </c>
      <c r="H38" s="39"/>
      <c r="I38" s="68">
        <f t="shared" si="0"/>
        <v>1.9849999999999999</v>
      </c>
      <c r="J38" s="39">
        <v>0.53</v>
      </c>
      <c r="K38" s="39">
        <v>0.57999999999999996</v>
      </c>
      <c r="L38" s="39">
        <v>0.6</v>
      </c>
      <c r="M38" s="68">
        <f t="shared" si="1"/>
        <v>0.56999999999999995</v>
      </c>
    </row>
    <row r="39" spans="2:13" x14ac:dyDescent="0.25">
      <c r="B39" s="628"/>
      <c r="C39" s="657"/>
      <c r="D39" s="657"/>
      <c r="E39" s="37" t="s">
        <v>44</v>
      </c>
      <c r="F39" s="44">
        <v>1.69</v>
      </c>
      <c r="G39" s="37">
        <v>1.75</v>
      </c>
      <c r="I39" s="70">
        <f t="shared" si="0"/>
        <v>1.72</v>
      </c>
      <c r="J39" s="37">
        <v>0.54</v>
      </c>
      <c r="K39" s="37">
        <v>0.52</v>
      </c>
      <c r="M39" s="70">
        <f t="shared" si="1"/>
        <v>0.53</v>
      </c>
    </row>
    <row r="40" spans="2:13" x14ac:dyDescent="0.25">
      <c r="B40" s="628"/>
      <c r="C40" s="657"/>
      <c r="D40" s="657"/>
      <c r="E40" s="37" t="s">
        <v>45</v>
      </c>
      <c r="F40" s="44">
        <v>1.78</v>
      </c>
      <c r="G40" s="37">
        <v>2.08</v>
      </c>
      <c r="H40" s="37">
        <v>2.0099999999999998</v>
      </c>
      <c r="I40" s="70">
        <f t="shared" si="0"/>
        <v>1.9566666666666668</v>
      </c>
      <c r="J40" s="37">
        <v>0.54</v>
      </c>
      <c r="K40" s="37">
        <v>0.55000000000000004</v>
      </c>
      <c r="M40" s="70">
        <f t="shared" si="1"/>
        <v>0.54500000000000004</v>
      </c>
    </row>
    <row r="41" spans="2:13" x14ac:dyDescent="0.25">
      <c r="B41" s="628"/>
      <c r="C41" s="657"/>
      <c r="D41" s="657"/>
      <c r="E41" s="37" t="s">
        <v>47</v>
      </c>
      <c r="F41" s="44">
        <v>1.99</v>
      </c>
      <c r="G41" s="37">
        <v>1.9</v>
      </c>
      <c r="I41" s="70">
        <f t="shared" si="0"/>
        <v>1.9449999999999998</v>
      </c>
      <c r="J41" s="37">
        <v>0.53</v>
      </c>
      <c r="K41" s="37">
        <v>0.56999999999999995</v>
      </c>
      <c r="L41" s="37">
        <v>0.57999999999999996</v>
      </c>
      <c r="M41" s="70">
        <f t="shared" si="1"/>
        <v>0.56000000000000005</v>
      </c>
    </row>
    <row r="42" spans="2:13" x14ac:dyDescent="0.25">
      <c r="B42" s="628"/>
      <c r="C42" s="657"/>
      <c r="D42" s="657"/>
      <c r="E42" s="37" t="s">
        <v>48</v>
      </c>
      <c r="F42" s="44">
        <v>2.15</v>
      </c>
      <c r="G42" s="37">
        <v>2.1</v>
      </c>
      <c r="I42" s="70">
        <f t="shared" si="0"/>
        <v>2.125</v>
      </c>
      <c r="J42" s="37">
        <v>0.53</v>
      </c>
      <c r="K42" s="37">
        <v>0.54</v>
      </c>
      <c r="M42" s="70">
        <f t="shared" si="1"/>
        <v>0.53500000000000003</v>
      </c>
    </row>
    <row r="43" spans="2:13" ht="15.75" thickBot="1" x14ac:dyDescent="0.3">
      <c r="B43" s="629"/>
      <c r="C43" s="636"/>
      <c r="D43" s="636"/>
      <c r="E43" s="33" t="s">
        <v>49</v>
      </c>
      <c r="F43" s="32">
        <v>2.2999999999999998</v>
      </c>
      <c r="G43" s="33">
        <v>2.33</v>
      </c>
      <c r="H43" s="33"/>
      <c r="I43" s="71">
        <f t="shared" si="0"/>
        <v>2.3149999999999999</v>
      </c>
      <c r="J43" s="33">
        <v>0.56999999999999995</v>
      </c>
      <c r="K43" s="33">
        <v>0.57999999999999996</v>
      </c>
      <c r="L43" s="33"/>
      <c r="M43" s="71">
        <f t="shared" si="1"/>
        <v>0.57499999999999996</v>
      </c>
    </row>
    <row r="44" spans="2:13" x14ac:dyDescent="0.25">
      <c r="B44" s="627" t="s">
        <v>113</v>
      </c>
      <c r="C44" s="635" t="s">
        <v>63</v>
      </c>
      <c r="D44" s="635" t="s">
        <v>37</v>
      </c>
      <c r="E44" s="39" t="s">
        <v>46</v>
      </c>
      <c r="F44" s="43">
        <v>1.37</v>
      </c>
      <c r="G44" s="39">
        <v>1.31</v>
      </c>
      <c r="H44" s="39"/>
      <c r="I44" s="68">
        <f t="shared" si="0"/>
        <v>1.34</v>
      </c>
      <c r="J44" s="39">
        <v>0.35</v>
      </c>
      <c r="K44" s="39">
        <v>0.38</v>
      </c>
      <c r="L44" s="39">
        <v>0.37</v>
      </c>
      <c r="M44" s="68">
        <f t="shared" si="1"/>
        <v>0.3666666666666667</v>
      </c>
    </row>
    <row r="45" spans="2:13" x14ac:dyDescent="0.25">
      <c r="B45" s="628"/>
      <c r="C45" s="657"/>
      <c r="D45" s="657"/>
      <c r="E45" s="37" t="s">
        <v>44</v>
      </c>
      <c r="F45" s="44">
        <v>1.64</v>
      </c>
      <c r="G45" s="37">
        <v>1.44</v>
      </c>
      <c r="H45" s="37">
        <v>1.6</v>
      </c>
      <c r="I45" s="70">
        <f t="shared" si="0"/>
        <v>1.5599999999999998</v>
      </c>
      <c r="J45" s="37">
        <v>0.46</v>
      </c>
      <c r="K45" s="37">
        <v>0.45</v>
      </c>
      <c r="M45" s="70">
        <f t="shared" si="1"/>
        <v>0.45500000000000002</v>
      </c>
    </row>
    <row r="46" spans="2:13" x14ac:dyDescent="0.25">
      <c r="B46" s="628"/>
      <c r="C46" s="657"/>
      <c r="D46" s="657"/>
      <c r="E46" s="37" t="s">
        <v>45</v>
      </c>
      <c r="F46" s="44">
        <v>1.71</v>
      </c>
      <c r="G46" s="37">
        <v>1.76</v>
      </c>
      <c r="I46" s="70">
        <f t="shared" si="0"/>
        <v>1.7349999999999999</v>
      </c>
      <c r="J46" s="37">
        <v>0.47</v>
      </c>
      <c r="K46" s="37">
        <v>0.48</v>
      </c>
      <c r="M46" s="70">
        <f t="shared" si="1"/>
        <v>0.47499999999999998</v>
      </c>
    </row>
    <row r="47" spans="2:13" ht="15.75" thickBot="1" x14ac:dyDescent="0.3">
      <c r="B47" s="629"/>
      <c r="C47" s="636"/>
      <c r="D47" s="636"/>
      <c r="E47" s="33" t="s">
        <v>47</v>
      </c>
      <c r="F47" s="32">
        <v>1.38</v>
      </c>
      <c r="G47" s="33">
        <v>1.44</v>
      </c>
      <c r="H47" s="33"/>
      <c r="I47" s="71">
        <f t="shared" si="0"/>
        <v>1.41</v>
      </c>
      <c r="J47" s="33">
        <v>0.44</v>
      </c>
      <c r="K47" s="33">
        <v>0.43</v>
      </c>
      <c r="L47" s="33"/>
      <c r="M47" s="71">
        <f t="shared" si="1"/>
        <v>0.435</v>
      </c>
    </row>
    <row r="48" spans="2:13" x14ac:dyDescent="0.25">
      <c r="B48" s="627" t="s">
        <v>127</v>
      </c>
      <c r="C48" s="638" t="s">
        <v>63</v>
      </c>
      <c r="D48" s="638" t="s">
        <v>11</v>
      </c>
      <c r="E48" s="196" t="s">
        <v>117</v>
      </c>
      <c r="F48" s="43">
        <v>2.13</v>
      </c>
      <c r="G48" s="39">
        <v>2.16</v>
      </c>
      <c r="H48" s="39"/>
      <c r="I48" s="68">
        <f>AVERAGE(F48:H48)</f>
        <v>2.145</v>
      </c>
      <c r="J48" s="39">
        <v>0.51</v>
      </c>
      <c r="K48" s="39">
        <v>0.51</v>
      </c>
      <c r="L48" s="39"/>
      <c r="M48" s="68">
        <f>AVERAGE(J48:L48)</f>
        <v>0.51</v>
      </c>
    </row>
    <row r="49" spans="2:13" x14ac:dyDescent="0.25">
      <c r="B49" s="628"/>
      <c r="C49" s="696"/>
      <c r="D49" s="696"/>
      <c r="E49" s="197" t="s">
        <v>118</v>
      </c>
      <c r="F49" s="44">
        <v>1.91</v>
      </c>
      <c r="G49" s="37">
        <v>1.82</v>
      </c>
      <c r="I49" s="70">
        <f>AVERAGE(F49:H49)</f>
        <v>1.865</v>
      </c>
      <c r="J49" s="37">
        <v>0.5</v>
      </c>
      <c r="K49" s="37">
        <v>0.48</v>
      </c>
      <c r="M49" s="70">
        <f>AVERAGE(J49:L49)</f>
        <v>0.49</v>
      </c>
    </row>
    <row r="50" spans="2:13" x14ac:dyDescent="0.25">
      <c r="B50" s="628"/>
      <c r="C50" s="696"/>
      <c r="D50" s="696"/>
      <c r="E50" s="197" t="s">
        <v>119</v>
      </c>
      <c r="F50" s="44">
        <v>1.7</v>
      </c>
      <c r="G50" s="37">
        <v>1.68</v>
      </c>
      <c r="I50" s="70">
        <f t="shared" ref="I50:I57" si="4">AVERAGE(F50:H50)</f>
        <v>1.69</v>
      </c>
      <c r="J50" s="37">
        <v>0.5</v>
      </c>
      <c r="K50" s="37">
        <v>0.47</v>
      </c>
      <c r="L50" s="37">
        <v>0.5</v>
      </c>
      <c r="M50" s="70">
        <f t="shared" ref="M50:M57" si="5">AVERAGE(J50:L50)</f>
        <v>0.49</v>
      </c>
    </row>
    <row r="51" spans="2:13" x14ac:dyDescent="0.25">
      <c r="B51" s="628"/>
      <c r="C51" s="696"/>
      <c r="D51" s="696"/>
      <c r="E51" s="197" t="s">
        <v>120</v>
      </c>
      <c r="F51" s="44">
        <v>2.08</v>
      </c>
      <c r="G51" s="37">
        <v>2.1</v>
      </c>
      <c r="I51" s="70">
        <f t="shared" si="4"/>
        <v>2.09</v>
      </c>
      <c r="J51" s="37">
        <v>0.49</v>
      </c>
      <c r="K51" s="37">
        <v>0.53</v>
      </c>
      <c r="L51" s="37">
        <v>0.56000000000000005</v>
      </c>
      <c r="M51" s="70">
        <f t="shared" si="5"/>
        <v>0.52666666666666673</v>
      </c>
    </row>
    <row r="52" spans="2:13" x14ac:dyDescent="0.25">
      <c r="B52" s="628"/>
      <c r="C52" s="696"/>
      <c r="D52" s="696"/>
      <c r="E52" s="197" t="s">
        <v>121</v>
      </c>
      <c r="F52" s="44">
        <v>1.61</v>
      </c>
      <c r="G52" s="37">
        <v>1.71</v>
      </c>
      <c r="I52" s="70">
        <f t="shared" si="4"/>
        <v>1.6600000000000001</v>
      </c>
      <c r="J52" s="37">
        <v>0.46</v>
      </c>
      <c r="K52" s="37">
        <v>0.42</v>
      </c>
      <c r="L52" s="37">
        <v>0.46</v>
      </c>
      <c r="M52" s="70">
        <f t="shared" si="5"/>
        <v>0.44666666666666671</v>
      </c>
    </row>
    <row r="53" spans="2:13" x14ac:dyDescent="0.25">
      <c r="B53" s="628"/>
      <c r="C53" s="696"/>
      <c r="D53" s="696"/>
      <c r="E53" s="197" t="s">
        <v>122</v>
      </c>
      <c r="F53" s="44">
        <v>1.91</v>
      </c>
      <c r="G53" s="37">
        <v>1.78</v>
      </c>
      <c r="H53" s="37">
        <v>1.78</v>
      </c>
      <c r="I53" s="70">
        <f t="shared" si="4"/>
        <v>1.8233333333333333</v>
      </c>
      <c r="J53" s="37">
        <v>0.42</v>
      </c>
      <c r="K53" s="37">
        <v>0.43</v>
      </c>
      <c r="M53" s="70">
        <f t="shared" si="5"/>
        <v>0.42499999999999999</v>
      </c>
    </row>
    <row r="54" spans="2:13" x14ac:dyDescent="0.25">
      <c r="B54" s="628"/>
      <c r="C54" s="696"/>
      <c r="D54" s="696"/>
      <c r="E54" s="197" t="s">
        <v>123</v>
      </c>
      <c r="F54" s="44">
        <v>1.92</v>
      </c>
      <c r="G54" s="37">
        <v>1.91</v>
      </c>
      <c r="I54" s="70">
        <f t="shared" si="4"/>
        <v>1.915</v>
      </c>
      <c r="J54" s="37">
        <v>0.53</v>
      </c>
      <c r="K54" s="37">
        <v>0.53</v>
      </c>
      <c r="M54" s="70">
        <f t="shared" si="5"/>
        <v>0.53</v>
      </c>
    </row>
    <row r="55" spans="2:13" x14ac:dyDescent="0.25">
      <c r="B55" s="628"/>
      <c r="C55" s="696"/>
      <c r="D55" s="696"/>
      <c r="E55" s="197" t="s">
        <v>124</v>
      </c>
      <c r="F55" s="44">
        <v>1.55</v>
      </c>
      <c r="G55" s="37">
        <v>1.6</v>
      </c>
      <c r="I55" s="70">
        <f t="shared" si="4"/>
        <v>1.5750000000000002</v>
      </c>
      <c r="J55" s="37">
        <v>0.49</v>
      </c>
      <c r="K55" s="37">
        <v>0.5</v>
      </c>
      <c r="M55" s="70">
        <f t="shared" si="5"/>
        <v>0.495</v>
      </c>
    </row>
    <row r="56" spans="2:13" x14ac:dyDescent="0.25">
      <c r="B56" s="628"/>
      <c r="C56" s="696"/>
      <c r="D56" s="696"/>
      <c r="E56" s="197" t="s">
        <v>125</v>
      </c>
      <c r="F56" s="44">
        <v>1.82</v>
      </c>
      <c r="G56" s="37">
        <v>1.95</v>
      </c>
      <c r="H56" s="37">
        <v>1.87</v>
      </c>
      <c r="I56" s="70">
        <f t="shared" si="4"/>
        <v>1.8800000000000001</v>
      </c>
      <c r="J56" s="37">
        <v>0.54</v>
      </c>
      <c r="K56" s="37">
        <v>0.53</v>
      </c>
      <c r="M56" s="70">
        <f t="shared" si="5"/>
        <v>0.53500000000000003</v>
      </c>
    </row>
    <row r="57" spans="2:13" ht="15.75" thickBot="1" x14ac:dyDescent="0.3">
      <c r="B57" s="629"/>
      <c r="C57" s="639"/>
      <c r="D57" s="639"/>
      <c r="E57" s="78" t="s">
        <v>126</v>
      </c>
      <c r="F57" s="32">
        <v>1.99</v>
      </c>
      <c r="G57" s="33">
        <v>2.06</v>
      </c>
      <c r="H57" s="33"/>
      <c r="I57" s="71">
        <f t="shared" si="4"/>
        <v>2.0249999999999999</v>
      </c>
      <c r="J57" s="33">
        <v>0.53</v>
      </c>
      <c r="K57" s="33">
        <v>0.54</v>
      </c>
      <c r="L57" s="33"/>
      <c r="M57" s="71">
        <f t="shared" si="5"/>
        <v>0.53500000000000003</v>
      </c>
    </row>
    <row r="58" spans="2:13" x14ac:dyDescent="0.25">
      <c r="B58" s="627" t="s">
        <v>128</v>
      </c>
      <c r="C58" s="635" t="s">
        <v>42</v>
      </c>
      <c r="D58" s="635" t="s">
        <v>11</v>
      </c>
      <c r="E58" s="196" t="s">
        <v>117</v>
      </c>
      <c r="F58" s="43">
        <v>2.29</v>
      </c>
      <c r="G58" s="39">
        <v>2.35</v>
      </c>
      <c r="H58" s="39"/>
      <c r="I58" s="68">
        <f>AVERAGE(F58:H58)</f>
        <v>2.3200000000000003</v>
      </c>
      <c r="J58" s="39">
        <v>0.57999999999999996</v>
      </c>
      <c r="K58" s="39">
        <v>0.6</v>
      </c>
      <c r="L58" s="39"/>
      <c r="M58" s="68">
        <f>AVERAGE(J58:L58)</f>
        <v>0.59</v>
      </c>
    </row>
    <row r="59" spans="2:13" x14ac:dyDescent="0.25">
      <c r="B59" s="628"/>
      <c r="C59" s="657"/>
      <c r="D59" s="657"/>
      <c r="E59" s="197" t="s">
        <v>118</v>
      </c>
      <c r="F59" s="44">
        <v>2.5299999999999998</v>
      </c>
      <c r="G59" s="37">
        <v>2.65</v>
      </c>
      <c r="H59" s="37">
        <v>2.82</v>
      </c>
      <c r="I59" s="70">
        <f>AVERAGE(F59:H59)</f>
        <v>2.6666666666666665</v>
      </c>
      <c r="J59" s="37">
        <v>0.56999999999999995</v>
      </c>
      <c r="K59" s="37">
        <v>0.6</v>
      </c>
      <c r="L59" s="37">
        <v>0.64</v>
      </c>
      <c r="M59" s="70">
        <f>AVERAGE(J59:L59)</f>
        <v>0.60333333333333339</v>
      </c>
    </row>
    <row r="60" spans="2:13" x14ac:dyDescent="0.25">
      <c r="B60" s="628"/>
      <c r="C60" s="657"/>
      <c r="D60" s="657"/>
      <c r="E60" s="197" t="s">
        <v>119</v>
      </c>
      <c r="F60" s="44">
        <v>2.57</v>
      </c>
      <c r="G60" s="37">
        <v>2.5</v>
      </c>
      <c r="I60" s="70">
        <f t="shared" ref="I60:I76" si="6">AVERAGE(F60:H60)</f>
        <v>2.5350000000000001</v>
      </c>
      <c r="J60" s="37">
        <v>0.59</v>
      </c>
      <c r="K60" s="37">
        <v>0.63</v>
      </c>
      <c r="L60" s="37">
        <v>0.63</v>
      </c>
      <c r="M60" s="70">
        <f t="shared" ref="M60:M66" si="7">AVERAGE(J60:L60)</f>
        <v>0.6166666666666667</v>
      </c>
    </row>
    <row r="61" spans="2:13" x14ac:dyDescent="0.25">
      <c r="B61" s="628"/>
      <c r="C61" s="657"/>
      <c r="D61" s="657"/>
      <c r="E61" s="197" t="s">
        <v>120</v>
      </c>
      <c r="F61" s="44">
        <v>2.0499999999999998</v>
      </c>
      <c r="G61" s="37">
        <v>1.97</v>
      </c>
      <c r="I61" s="70">
        <f t="shared" si="6"/>
        <v>2.0099999999999998</v>
      </c>
      <c r="J61" s="37">
        <v>0.53</v>
      </c>
      <c r="K61" s="37">
        <v>0.53</v>
      </c>
      <c r="M61" s="70">
        <f t="shared" si="7"/>
        <v>0.53</v>
      </c>
    </row>
    <row r="62" spans="2:13" x14ac:dyDescent="0.25">
      <c r="B62" s="628"/>
      <c r="C62" s="657"/>
      <c r="D62" s="657"/>
      <c r="E62" s="197" t="s">
        <v>121</v>
      </c>
      <c r="F62" s="44">
        <v>2.4500000000000002</v>
      </c>
      <c r="G62" s="37">
        <v>2.0699999999999998</v>
      </c>
      <c r="H62" s="37">
        <v>2.2400000000000002</v>
      </c>
      <c r="I62" s="70">
        <f t="shared" si="6"/>
        <v>2.2533333333333334</v>
      </c>
      <c r="J62" s="37">
        <v>0.52</v>
      </c>
      <c r="K62" s="37">
        <v>0.59</v>
      </c>
      <c r="L62" s="37">
        <v>0.56999999999999995</v>
      </c>
      <c r="M62" s="70">
        <f t="shared" si="7"/>
        <v>0.55999999999999994</v>
      </c>
    </row>
    <row r="63" spans="2:13" x14ac:dyDescent="0.25">
      <c r="B63" s="628"/>
      <c r="C63" s="657"/>
      <c r="D63" s="657"/>
      <c r="E63" s="197" t="s">
        <v>122</v>
      </c>
      <c r="F63" s="44">
        <v>2.2599999999999998</v>
      </c>
      <c r="G63" s="37">
        <v>2.5499999999999998</v>
      </c>
      <c r="H63" s="37">
        <v>2.48</v>
      </c>
      <c r="I63" s="70">
        <f t="shared" si="6"/>
        <v>2.4299999999999997</v>
      </c>
      <c r="J63" s="37">
        <v>0.56999999999999995</v>
      </c>
      <c r="K63" s="37">
        <v>0.61</v>
      </c>
      <c r="L63" s="37">
        <v>0.6</v>
      </c>
      <c r="M63" s="70">
        <f t="shared" si="7"/>
        <v>0.59333333333333327</v>
      </c>
    </row>
    <row r="64" spans="2:13" x14ac:dyDescent="0.25">
      <c r="B64" s="628"/>
      <c r="C64" s="657"/>
      <c r="D64" s="657"/>
      <c r="E64" s="197" t="s">
        <v>123</v>
      </c>
      <c r="F64" s="44">
        <v>2.39</v>
      </c>
      <c r="G64" s="37">
        <v>2.36</v>
      </c>
      <c r="I64" s="70">
        <f t="shared" si="6"/>
        <v>2.375</v>
      </c>
      <c r="J64" s="37">
        <v>0.53</v>
      </c>
      <c r="K64" s="37">
        <v>0.59</v>
      </c>
      <c r="L64" s="37">
        <v>0.54</v>
      </c>
      <c r="M64" s="70">
        <f t="shared" si="7"/>
        <v>0.55333333333333334</v>
      </c>
    </row>
    <row r="65" spans="2:13" x14ac:dyDescent="0.25">
      <c r="B65" s="628"/>
      <c r="C65" s="657"/>
      <c r="D65" s="657"/>
      <c r="E65" s="197" t="s">
        <v>124</v>
      </c>
      <c r="F65" s="44">
        <v>2.12</v>
      </c>
      <c r="G65" s="37">
        <v>2.19</v>
      </c>
      <c r="I65" s="70">
        <f t="shared" si="6"/>
        <v>2.1550000000000002</v>
      </c>
      <c r="J65" s="37">
        <v>0.54</v>
      </c>
      <c r="K65" s="37">
        <v>0.57999999999999996</v>
      </c>
      <c r="L65" s="37">
        <v>0.56999999999999995</v>
      </c>
      <c r="M65" s="70">
        <f t="shared" si="7"/>
        <v>0.56333333333333335</v>
      </c>
    </row>
    <row r="66" spans="2:13" ht="15.75" thickBot="1" x14ac:dyDescent="0.3">
      <c r="B66" s="629"/>
      <c r="C66" s="636"/>
      <c r="D66" s="636"/>
      <c r="E66" s="78" t="s">
        <v>125</v>
      </c>
      <c r="F66" s="32">
        <v>1.99</v>
      </c>
      <c r="G66" s="33">
        <v>1.95</v>
      </c>
      <c r="H66" s="33"/>
      <c r="I66" s="71">
        <f t="shared" si="6"/>
        <v>1.97</v>
      </c>
      <c r="J66" s="33">
        <v>0.51</v>
      </c>
      <c r="K66" s="33">
        <v>0.56000000000000005</v>
      </c>
      <c r="L66" s="33">
        <v>0.55000000000000004</v>
      </c>
      <c r="M66" s="71">
        <f t="shared" si="7"/>
        <v>0.54</v>
      </c>
    </row>
    <row r="67" spans="2:13" x14ac:dyDescent="0.25">
      <c r="B67" s="644" t="s">
        <v>151</v>
      </c>
      <c r="C67" s="665" t="s">
        <v>63</v>
      </c>
      <c r="D67" s="635" t="s">
        <v>12</v>
      </c>
      <c r="E67" s="196" t="s">
        <v>117</v>
      </c>
      <c r="F67" s="43">
        <v>1.91</v>
      </c>
      <c r="G67" s="39">
        <v>1.89</v>
      </c>
      <c r="H67" s="39"/>
      <c r="I67" s="68">
        <f t="shared" si="6"/>
        <v>1.9</v>
      </c>
      <c r="J67" s="39">
        <f>0.58</f>
        <v>0.57999999999999996</v>
      </c>
      <c r="K67" s="39">
        <v>0.56000000000000005</v>
      </c>
      <c r="L67" s="39"/>
      <c r="M67" s="68">
        <f>AVERAGE(J67:K67)</f>
        <v>0.57000000000000006</v>
      </c>
    </row>
    <row r="68" spans="2:13" x14ac:dyDescent="0.25">
      <c r="B68" s="645"/>
      <c r="C68" s="666"/>
      <c r="D68" s="657"/>
      <c r="E68" s="197" t="s">
        <v>118</v>
      </c>
      <c r="F68" s="44">
        <v>2.12</v>
      </c>
      <c r="G68" s="37">
        <v>2.23</v>
      </c>
      <c r="H68" s="37">
        <v>2.52</v>
      </c>
      <c r="I68" s="70">
        <f t="shared" si="6"/>
        <v>2.2899999999999996</v>
      </c>
      <c r="J68" s="37">
        <v>0.69</v>
      </c>
      <c r="K68" s="37">
        <v>0.62</v>
      </c>
      <c r="M68" s="70">
        <f t="shared" ref="M68:M81" si="8">AVERAGE(J68:K68)</f>
        <v>0.65500000000000003</v>
      </c>
    </row>
    <row r="69" spans="2:13" x14ac:dyDescent="0.25">
      <c r="B69" s="645"/>
      <c r="C69" s="666"/>
      <c r="D69" s="657"/>
      <c r="E69" s="197" t="s">
        <v>119</v>
      </c>
      <c r="F69" s="44">
        <v>1.92</v>
      </c>
      <c r="G69" s="37">
        <v>1.89</v>
      </c>
      <c r="I69" s="70">
        <f t="shared" si="6"/>
        <v>1.9049999999999998</v>
      </c>
      <c r="J69" s="37">
        <v>0.54</v>
      </c>
      <c r="K69" s="37">
        <v>0.57999999999999996</v>
      </c>
      <c r="M69" s="70">
        <f t="shared" si="8"/>
        <v>0.56000000000000005</v>
      </c>
    </row>
    <row r="70" spans="2:13" x14ac:dyDescent="0.25">
      <c r="B70" s="645"/>
      <c r="C70" s="666"/>
      <c r="D70" s="657"/>
      <c r="E70" s="197" t="s">
        <v>120</v>
      </c>
      <c r="F70" s="44">
        <v>2.16</v>
      </c>
      <c r="G70" s="37">
        <v>2.0499999999999998</v>
      </c>
      <c r="H70" s="37">
        <v>2</v>
      </c>
      <c r="I70" s="70">
        <f t="shared" si="6"/>
        <v>2.0699999999999998</v>
      </c>
      <c r="J70" s="37">
        <v>0.57999999999999996</v>
      </c>
      <c r="K70" s="37">
        <v>0.6</v>
      </c>
      <c r="M70" s="70">
        <f t="shared" si="8"/>
        <v>0.59</v>
      </c>
    </row>
    <row r="71" spans="2:13" x14ac:dyDescent="0.25">
      <c r="B71" s="645"/>
      <c r="C71" s="666"/>
      <c r="D71" s="657"/>
      <c r="E71" s="197" t="s">
        <v>121</v>
      </c>
      <c r="F71" s="44">
        <v>2.2799999999999998</v>
      </c>
      <c r="G71" s="37">
        <v>2.2200000000000002</v>
      </c>
      <c r="I71" s="70">
        <f t="shared" si="6"/>
        <v>2.25</v>
      </c>
      <c r="J71" s="37">
        <v>0.65</v>
      </c>
      <c r="K71" s="37">
        <v>0.66</v>
      </c>
      <c r="M71" s="70">
        <f t="shared" si="8"/>
        <v>0.65500000000000003</v>
      </c>
    </row>
    <row r="72" spans="2:13" x14ac:dyDescent="0.25">
      <c r="B72" s="645"/>
      <c r="C72" s="666"/>
      <c r="D72" s="657"/>
      <c r="E72" s="197" t="s">
        <v>122</v>
      </c>
      <c r="F72" s="44">
        <v>1.33</v>
      </c>
      <c r="G72" s="37">
        <v>1.54</v>
      </c>
      <c r="H72" s="37">
        <v>1.74</v>
      </c>
      <c r="I72" s="70">
        <f t="shared" si="6"/>
        <v>1.5366666666666668</v>
      </c>
      <c r="J72" s="37">
        <v>0.49</v>
      </c>
      <c r="K72" s="37">
        <v>0.47</v>
      </c>
      <c r="M72" s="70">
        <f t="shared" si="8"/>
        <v>0.48</v>
      </c>
    </row>
    <row r="73" spans="2:13" x14ac:dyDescent="0.25">
      <c r="B73" s="645"/>
      <c r="C73" s="666"/>
      <c r="D73" s="657"/>
      <c r="E73" s="197" t="s">
        <v>123</v>
      </c>
      <c r="F73" s="44">
        <v>1.93</v>
      </c>
      <c r="G73" s="37">
        <v>1.99</v>
      </c>
      <c r="I73" s="70">
        <f t="shared" si="6"/>
        <v>1.96</v>
      </c>
      <c r="J73" s="37">
        <v>0.57999999999999996</v>
      </c>
      <c r="K73" s="37">
        <v>0.56999999999999995</v>
      </c>
      <c r="M73" s="70">
        <f t="shared" si="8"/>
        <v>0.57499999999999996</v>
      </c>
    </row>
    <row r="74" spans="2:13" x14ac:dyDescent="0.25">
      <c r="B74" s="645"/>
      <c r="C74" s="666"/>
      <c r="D74" s="657"/>
      <c r="E74" s="197" t="s">
        <v>124</v>
      </c>
      <c r="F74" s="44">
        <v>1.55</v>
      </c>
      <c r="G74" s="37">
        <v>1.56</v>
      </c>
      <c r="I74" s="70">
        <f t="shared" si="6"/>
        <v>1.5550000000000002</v>
      </c>
      <c r="J74" s="37">
        <v>0.45</v>
      </c>
      <c r="K74" s="37">
        <v>0.51</v>
      </c>
      <c r="M74" s="70">
        <f t="shared" si="8"/>
        <v>0.48</v>
      </c>
    </row>
    <row r="75" spans="2:13" x14ac:dyDescent="0.25">
      <c r="B75" s="645"/>
      <c r="C75" s="666"/>
      <c r="D75" s="657"/>
      <c r="E75" s="197" t="s">
        <v>125</v>
      </c>
      <c r="F75" s="44">
        <v>1.82</v>
      </c>
      <c r="G75" s="37">
        <v>1.76</v>
      </c>
      <c r="I75" s="70">
        <f t="shared" si="6"/>
        <v>1.79</v>
      </c>
      <c r="J75" s="37">
        <v>0.51</v>
      </c>
      <c r="K75" s="37">
        <v>0.53</v>
      </c>
      <c r="M75" s="70">
        <f t="shared" si="8"/>
        <v>0.52</v>
      </c>
    </row>
    <row r="76" spans="2:13" ht="15.75" thickBot="1" x14ac:dyDescent="0.3">
      <c r="B76" s="645"/>
      <c r="C76" s="666"/>
      <c r="D76" s="657"/>
      <c r="E76" s="197" t="s">
        <v>126</v>
      </c>
      <c r="F76" s="44">
        <v>2.2400000000000002</v>
      </c>
      <c r="G76" s="37">
        <v>2.37</v>
      </c>
      <c r="H76" s="37">
        <v>2.38</v>
      </c>
      <c r="I76" s="70">
        <f t="shared" si="6"/>
        <v>2.33</v>
      </c>
      <c r="J76" s="37">
        <v>0.61</v>
      </c>
      <c r="K76" s="37">
        <v>0.63</v>
      </c>
      <c r="M76" s="70">
        <f t="shared" si="8"/>
        <v>0.62</v>
      </c>
    </row>
    <row r="77" spans="2:13" x14ac:dyDescent="0.25">
      <c r="B77" s="627" t="s">
        <v>150</v>
      </c>
      <c r="C77" s="638" t="s">
        <v>42</v>
      </c>
      <c r="D77" s="638" t="s">
        <v>12</v>
      </c>
      <c r="E77" s="39" t="s">
        <v>122</v>
      </c>
      <c r="F77" s="43">
        <v>1.88</v>
      </c>
      <c r="G77" s="39">
        <v>1.75</v>
      </c>
      <c r="H77" s="39">
        <v>1.92</v>
      </c>
      <c r="I77" s="68">
        <f>AVERAGE(F77:H77)</f>
        <v>1.8499999999999999</v>
      </c>
      <c r="J77" s="39">
        <v>0.51</v>
      </c>
      <c r="K77" s="39">
        <v>0.55000000000000004</v>
      </c>
      <c r="L77" s="39"/>
      <c r="M77" s="68">
        <f t="shared" si="8"/>
        <v>0.53</v>
      </c>
    </row>
    <row r="78" spans="2:13" x14ac:dyDescent="0.25">
      <c r="B78" s="628"/>
      <c r="C78" s="696"/>
      <c r="D78" s="696"/>
      <c r="E78" s="37" t="s">
        <v>123</v>
      </c>
      <c r="F78" s="44">
        <v>2.0099999999999998</v>
      </c>
      <c r="G78" s="37">
        <v>1.76</v>
      </c>
      <c r="H78" s="37">
        <v>1.86</v>
      </c>
      <c r="I78" s="70">
        <f t="shared" ref="I78:I105" si="9">AVERAGE(F78:H78)</f>
        <v>1.8766666666666667</v>
      </c>
      <c r="J78" s="37">
        <v>0.53</v>
      </c>
      <c r="K78" s="37">
        <v>0.56999999999999995</v>
      </c>
      <c r="M78" s="70">
        <f t="shared" si="8"/>
        <v>0.55000000000000004</v>
      </c>
    </row>
    <row r="79" spans="2:13" x14ac:dyDescent="0.25">
      <c r="B79" s="628"/>
      <c r="C79" s="696"/>
      <c r="D79" s="696"/>
      <c r="E79" s="37" t="s">
        <v>124</v>
      </c>
      <c r="F79" s="44">
        <v>1.84</v>
      </c>
      <c r="G79" s="37">
        <v>1.94</v>
      </c>
      <c r="H79" s="37">
        <v>1.74</v>
      </c>
      <c r="I79" s="70">
        <f t="shared" si="9"/>
        <v>1.84</v>
      </c>
      <c r="J79" s="37">
        <v>0.47</v>
      </c>
      <c r="K79" s="37">
        <v>0.52</v>
      </c>
      <c r="M79" s="70">
        <f t="shared" si="8"/>
        <v>0.495</v>
      </c>
    </row>
    <row r="80" spans="2:13" x14ac:dyDescent="0.25">
      <c r="B80" s="628"/>
      <c r="C80" s="696"/>
      <c r="D80" s="696"/>
      <c r="E80" s="37" t="s">
        <v>125</v>
      </c>
      <c r="F80" s="44">
        <v>2.12</v>
      </c>
      <c r="G80" s="37">
        <v>2.06</v>
      </c>
      <c r="I80" s="70">
        <f t="shared" si="9"/>
        <v>2.09</v>
      </c>
      <c r="J80" s="37">
        <v>0.56000000000000005</v>
      </c>
      <c r="K80" s="37">
        <v>0.56999999999999995</v>
      </c>
      <c r="M80" s="70">
        <f t="shared" si="8"/>
        <v>0.56499999999999995</v>
      </c>
    </row>
    <row r="81" spans="2:13" ht="15.75" thickBot="1" x14ac:dyDescent="0.3">
      <c r="B81" s="629"/>
      <c r="C81" s="639"/>
      <c r="D81" s="639"/>
      <c r="E81" s="33" t="s">
        <v>126</v>
      </c>
      <c r="F81" s="32">
        <v>1.96</v>
      </c>
      <c r="G81" s="33">
        <v>1.78</v>
      </c>
      <c r="H81" s="33">
        <v>1.79</v>
      </c>
      <c r="I81" s="71">
        <f t="shared" si="9"/>
        <v>1.8433333333333335</v>
      </c>
      <c r="J81" s="33">
        <v>0.54</v>
      </c>
      <c r="K81" s="33">
        <v>0.54</v>
      </c>
      <c r="L81" s="33"/>
      <c r="M81" s="71">
        <f t="shared" si="8"/>
        <v>0.54</v>
      </c>
    </row>
    <row r="82" spans="2:13" x14ac:dyDescent="0.25">
      <c r="B82" s="644" t="s">
        <v>154</v>
      </c>
      <c r="C82" s="665" t="s">
        <v>63</v>
      </c>
      <c r="D82" s="665" t="s">
        <v>145</v>
      </c>
      <c r="E82" s="310" t="s">
        <v>46</v>
      </c>
      <c r="F82" s="43">
        <v>1.93</v>
      </c>
      <c r="G82" s="39">
        <v>2.25</v>
      </c>
      <c r="H82" s="39">
        <v>1.97</v>
      </c>
      <c r="I82" s="68">
        <f t="shared" si="9"/>
        <v>2.0499999999999998</v>
      </c>
      <c r="J82" s="39">
        <v>0.46</v>
      </c>
      <c r="K82" s="39">
        <v>0.56999999999999995</v>
      </c>
      <c r="L82" s="39">
        <v>0.55000000000000004</v>
      </c>
      <c r="M82" s="68">
        <f>AVERAGE(J82:L82)</f>
        <v>0.52666666666666673</v>
      </c>
    </row>
    <row r="83" spans="2:13" x14ac:dyDescent="0.25">
      <c r="B83" s="645"/>
      <c r="C83" s="666"/>
      <c r="D83" s="666"/>
      <c r="E83" s="287" t="s">
        <v>44</v>
      </c>
      <c r="F83" s="44">
        <v>2.15</v>
      </c>
      <c r="G83" s="37">
        <v>1.64</v>
      </c>
      <c r="H83" s="37">
        <v>1.88</v>
      </c>
      <c r="I83" s="70">
        <f t="shared" si="9"/>
        <v>1.89</v>
      </c>
      <c r="J83" s="37">
        <v>0.42</v>
      </c>
      <c r="K83" s="37">
        <v>0.49</v>
      </c>
      <c r="L83" s="37">
        <v>0.5</v>
      </c>
      <c r="M83" s="70">
        <f t="shared" ref="M83:M108" si="10">AVERAGE(J83:L83)</f>
        <v>0.47</v>
      </c>
    </row>
    <row r="84" spans="2:13" x14ac:dyDescent="0.25">
      <c r="B84" s="645"/>
      <c r="C84" s="666"/>
      <c r="D84" s="666"/>
      <c r="E84" s="287" t="s">
        <v>122</v>
      </c>
      <c r="F84" s="44">
        <v>1.91</v>
      </c>
      <c r="G84" s="37">
        <v>1.93</v>
      </c>
      <c r="I84" s="70">
        <f t="shared" si="9"/>
        <v>1.92</v>
      </c>
      <c r="J84" s="37">
        <v>0.52</v>
      </c>
      <c r="K84" s="37">
        <v>0.5</v>
      </c>
      <c r="M84" s="70">
        <f t="shared" si="10"/>
        <v>0.51</v>
      </c>
    </row>
    <row r="85" spans="2:13" x14ac:dyDescent="0.25">
      <c r="B85" s="645"/>
      <c r="C85" s="666"/>
      <c r="D85" s="666"/>
      <c r="E85" s="287" t="s">
        <v>123</v>
      </c>
      <c r="F85" s="44">
        <v>2.02</v>
      </c>
      <c r="G85" s="37">
        <v>2.2000000000000002</v>
      </c>
      <c r="H85" s="37">
        <v>2.34</v>
      </c>
      <c r="I85" s="70">
        <f t="shared" si="9"/>
        <v>2.186666666666667</v>
      </c>
      <c r="J85" s="37">
        <v>0.61</v>
      </c>
      <c r="K85" s="37">
        <v>0.62</v>
      </c>
      <c r="M85" s="70">
        <f t="shared" si="10"/>
        <v>0.61499999999999999</v>
      </c>
    </row>
    <row r="86" spans="2:13" x14ac:dyDescent="0.25">
      <c r="B86" s="645"/>
      <c r="C86" s="666"/>
      <c r="D86" s="666"/>
      <c r="E86" s="287" t="s">
        <v>124</v>
      </c>
      <c r="F86" s="44">
        <v>2.57</v>
      </c>
      <c r="G86" s="37">
        <v>2.56</v>
      </c>
      <c r="I86" s="70">
        <f t="shared" si="9"/>
        <v>2.5649999999999999</v>
      </c>
      <c r="J86" s="37">
        <v>0.65</v>
      </c>
      <c r="K86" s="37">
        <v>0.67</v>
      </c>
      <c r="M86" s="70">
        <f t="shared" si="10"/>
        <v>0.66</v>
      </c>
    </row>
    <row r="87" spans="2:13" x14ac:dyDescent="0.25">
      <c r="B87" s="645"/>
      <c r="C87" s="666"/>
      <c r="D87" s="666"/>
      <c r="E87" s="287" t="s">
        <v>125</v>
      </c>
      <c r="F87" s="44">
        <v>2.1800000000000002</v>
      </c>
      <c r="G87" s="37">
        <v>2.34</v>
      </c>
      <c r="H87" s="37">
        <v>2.4</v>
      </c>
      <c r="I87" s="70">
        <f t="shared" si="9"/>
        <v>2.3066666666666666</v>
      </c>
      <c r="J87" s="37">
        <v>0.66</v>
      </c>
      <c r="K87" s="37">
        <v>0.64</v>
      </c>
      <c r="M87" s="70">
        <f t="shared" si="10"/>
        <v>0.65</v>
      </c>
    </row>
    <row r="88" spans="2:13" ht="15.75" thickBot="1" x14ac:dyDescent="0.3">
      <c r="B88" s="646"/>
      <c r="C88" s="683"/>
      <c r="D88" s="683"/>
      <c r="E88" s="269" t="s">
        <v>126</v>
      </c>
      <c r="F88" s="32">
        <v>2.06</v>
      </c>
      <c r="G88" s="33">
        <v>1.94</v>
      </c>
      <c r="H88" s="33">
        <v>1.89</v>
      </c>
      <c r="I88" s="71">
        <f t="shared" si="9"/>
        <v>1.9633333333333332</v>
      </c>
      <c r="J88" s="33">
        <v>0.52</v>
      </c>
      <c r="K88" s="33">
        <v>0.52</v>
      </c>
      <c r="L88" s="33"/>
      <c r="M88" s="71">
        <f t="shared" si="10"/>
        <v>0.52</v>
      </c>
    </row>
    <row r="89" spans="2:13" x14ac:dyDescent="0.25">
      <c r="B89" s="627" t="s">
        <v>153</v>
      </c>
      <c r="C89" s="635" t="s">
        <v>42</v>
      </c>
      <c r="D89" s="635" t="s">
        <v>145</v>
      </c>
      <c r="E89" s="311" t="s">
        <v>117</v>
      </c>
      <c r="F89" s="43">
        <v>2.06</v>
      </c>
      <c r="G89" s="39">
        <v>1.84</v>
      </c>
      <c r="H89" s="39">
        <v>1.86</v>
      </c>
      <c r="I89" s="68">
        <f t="shared" si="9"/>
        <v>1.9200000000000002</v>
      </c>
      <c r="J89" s="39">
        <v>0.53</v>
      </c>
      <c r="K89" s="39">
        <v>0.52</v>
      </c>
      <c r="L89" s="39"/>
      <c r="M89" s="68">
        <f t="shared" si="10"/>
        <v>0.52500000000000002</v>
      </c>
    </row>
    <row r="90" spans="2:13" x14ac:dyDescent="0.25">
      <c r="B90" s="628"/>
      <c r="C90" s="657"/>
      <c r="D90" s="657"/>
      <c r="E90" s="312" t="s">
        <v>118</v>
      </c>
      <c r="F90" s="44">
        <v>2.36</v>
      </c>
      <c r="G90" s="37">
        <v>2.15</v>
      </c>
      <c r="H90" s="37">
        <v>2.08</v>
      </c>
      <c r="I90" s="70">
        <f t="shared" si="9"/>
        <v>2.1966666666666668</v>
      </c>
      <c r="J90" s="37">
        <v>0.61</v>
      </c>
      <c r="K90" s="37">
        <v>0.67</v>
      </c>
      <c r="L90" s="37">
        <v>0.64</v>
      </c>
      <c r="M90" s="70">
        <f t="shared" si="10"/>
        <v>0.64</v>
      </c>
    </row>
    <row r="91" spans="2:13" x14ac:dyDescent="0.25">
      <c r="B91" s="628"/>
      <c r="C91" s="657"/>
      <c r="D91" s="657"/>
      <c r="E91" s="312" t="s">
        <v>119</v>
      </c>
      <c r="F91" s="44">
        <v>2.42</v>
      </c>
      <c r="G91" s="37">
        <v>1.86</v>
      </c>
      <c r="H91" s="37">
        <v>2.1</v>
      </c>
      <c r="I91" s="70">
        <f t="shared" si="9"/>
        <v>2.1266666666666669</v>
      </c>
      <c r="J91" s="37">
        <v>0.57999999999999996</v>
      </c>
      <c r="K91" s="37">
        <v>0.62</v>
      </c>
      <c r="M91" s="70">
        <f t="shared" si="10"/>
        <v>0.6</v>
      </c>
    </row>
    <row r="92" spans="2:13" x14ac:dyDescent="0.25">
      <c r="B92" s="628"/>
      <c r="C92" s="657"/>
      <c r="D92" s="657"/>
      <c r="E92" s="312" t="s">
        <v>120</v>
      </c>
      <c r="F92" s="44">
        <v>2.35</v>
      </c>
      <c r="G92" s="37">
        <v>2.1800000000000002</v>
      </c>
      <c r="H92" s="37">
        <v>2.2599999999999998</v>
      </c>
      <c r="I92" s="70">
        <f t="shared" si="9"/>
        <v>2.2633333333333332</v>
      </c>
      <c r="J92" s="37">
        <v>0.61</v>
      </c>
      <c r="K92" s="37">
        <v>0.57999999999999996</v>
      </c>
      <c r="M92" s="70">
        <f t="shared" si="10"/>
        <v>0.59499999999999997</v>
      </c>
    </row>
    <row r="93" spans="2:13" x14ac:dyDescent="0.25">
      <c r="B93" s="628"/>
      <c r="C93" s="657"/>
      <c r="D93" s="657"/>
      <c r="E93" s="312" t="s">
        <v>121</v>
      </c>
      <c r="F93" s="44">
        <v>2.08</v>
      </c>
      <c r="G93" s="37">
        <v>2.34</v>
      </c>
      <c r="H93" s="37">
        <v>2.08</v>
      </c>
      <c r="I93" s="70">
        <f t="shared" si="9"/>
        <v>2.1666666666666665</v>
      </c>
      <c r="J93" s="37">
        <v>0.53</v>
      </c>
      <c r="K93" s="37">
        <v>0.57999999999999996</v>
      </c>
      <c r="M93" s="70">
        <f t="shared" si="10"/>
        <v>0.55499999999999994</v>
      </c>
    </row>
    <row r="94" spans="2:13" x14ac:dyDescent="0.25">
      <c r="B94" s="628"/>
      <c r="C94" s="657"/>
      <c r="D94" s="657"/>
      <c r="E94" s="312" t="s">
        <v>122</v>
      </c>
      <c r="F94" s="44">
        <v>2.0699999999999998</v>
      </c>
      <c r="G94" s="37">
        <v>2.76</v>
      </c>
      <c r="H94" s="37">
        <v>2.75</v>
      </c>
      <c r="I94" s="70">
        <f t="shared" si="9"/>
        <v>2.5266666666666668</v>
      </c>
      <c r="J94" s="37">
        <v>0.49</v>
      </c>
      <c r="K94" s="37">
        <v>0.47</v>
      </c>
      <c r="M94" s="70">
        <f t="shared" si="10"/>
        <v>0.48</v>
      </c>
    </row>
    <row r="95" spans="2:13" x14ac:dyDescent="0.25">
      <c r="B95" s="628"/>
      <c r="C95" s="657"/>
      <c r="D95" s="657"/>
      <c r="E95" s="312" t="s">
        <v>124</v>
      </c>
      <c r="F95" s="44">
        <v>1.59</v>
      </c>
      <c r="G95" s="37">
        <v>1.76</v>
      </c>
      <c r="H95" s="37">
        <v>1.76</v>
      </c>
      <c r="I95" s="70">
        <f t="shared" si="9"/>
        <v>1.7033333333333334</v>
      </c>
      <c r="J95" s="37">
        <v>0.48</v>
      </c>
      <c r="K95" s="37">
        <v>0.5</v>
      </c>
      <c r="M95" s="70">
        <f t="shared" si="10"/>
        <v>0.49</v>
      </c>
    </row>
    <row r="96" spans="2:13" x14ac:dyDescent="0.25">
      <c r="B96" s="628"/>
      <c r="C96" s="657"/>
      <c r="D96" s="657"/>
      <c r="E96" s="312" t="s">
        <v>125</v>
      </c>
      <c r="F96" s="44">
        <v>1.84</v>
      </c>
      <c r="G96" s="37">
        <v>1.77</v>
      </c>
      <c r="I96" s="70">
        <f t="shared" si="9"/>
        <v>1.8050000000000002</v>
      </c>
      <c r="J96" s="37">
        <v>0.48</v>
      </c>
      <c r="K96" s="37">
        <v>0.52</v>
      </c>
      <c r="M96" s="70">
        <f t="shared" si="10"/>
        <v>0.5</v>
      </c>
    </row>
    <row r="97" spans="2:13" ht="15.75" thickBot="1" x14ac:dyDescent="0.3">
      <c r="B97" s="629"/>
      <c r="C97" s="636"/>
      <c r="D97" s="636"/>
      <c r="E97" s="313" t="s">
        <v>126</v>
      </c>
      <c r="F97" s="32">
        <v>4.09</v>
      </c>
      <c r="G97" s="33">
        <v>4.1500000000000004</v>
      </c>
      <c r="H97" s="33"/>
      <c r="I97" s="71">
        <f t="shared" si="9"/>
        <v>4.12</v>
      </c>
      <c r="J97" s="33">
        <v>0.69</v>
      </c>
      <c r="K97" s="33">
        <v>0.73</v>
      </c>
      <c r="L97" s="33"/>
      <c r="M97" s="71">
        <f t="shared" si="10"/>
        <v>0.71</v>
      </c>
    </row>
    <row r="98" spans="2:13" x14ac:dyDescent="0.25">
      <c r="B98" s="627" t="s">
        <v>210</v>
      </c>
      <c r="C98" s="638" t="s">
        <v>42</v>
      </c>
      <c r="D98" s="638" t="s">
        <v>26</v>
      </c>
      <c r="E98" s="196" t="s">
        <v>46</v>
      </c>
      <c r="F98" s="39">
        <v>3.87</v>
      </c>
      <c r="G98" s="39">
        <v>2.2000000000000002</v>
      </c>
      <c r="H98" s="39">
        <v>2.85</v>
      </c>
      <c r="I98" s="429">
        <f t="shared" si="9"/>
        <v>2.9733333333333332</v>
      </c>
      <c r="J98" s="43">
        <v>0.56999999999999995</v>
      </c>
      <c r="K98" s="39">
        <v>0.59</v>
      </c>
      <c r="L98" s="39"/>
      <c r="M98" s="429">
        <f t="shared" si="10"/>
        <v>0.57999999999999996</v>
      </c>
    </row>
    <row r="99" spans="2:13" x14ac:dyDescent="0.25">
      <c r="B99" s="628"/>
      <c r="C99" s="697"/>
      <c r="D99" s="697"/>
      <c r="E99" s="249" t="s">
        <v>44</v>
      </c>
      <c r="F99" s="151">
        <v>2.2999999999999998</v>
      </c>
      <c r="G99" s="151">
        <v>2.0699999999999998</v>
      </c>
      <c r="H99" s="151">
        <v>2.2000000000000002</v>
      </c>
      <c r="I99" s="427">
        <f t="shared" si="9"/>
        <v>2.19</v>
      </c>
      <c r="J99" s="426">
        <v>0.64</v>
      </c>
      <c r="K99" s="151">
        <v>0.62</v>
      </c>
      <c r="L99" s="151"/>
      <c r="M99" s="427">
        <f t="shared" si="10"/>
        <v>0.63</v>
      </c>
    </row>
    <row r="100" spans="2:13" x14ac:dyDescent="0.25">
      <c r="B100" s="628"/>
      <c r="C100" s="696" t="s">
        <v>42</v>
      </c>
      <c r="D100" s="657" t="s">
        <v>12</v>
      </c>
      <c r="E100" s="197" t="s">
        <v>117</v>
      </c>
      <c r="F100" s="37">
        <v>2.17</v>
      </c>
      <c r="G100" s="37">
        <v>2.5499999999999998</v>
      </c>
      <c r="H100" s="37">
        <v>2.38</v>
      </c>
      <c r="I100" s="430">
        <f t="shared" si="9"/>
        <v>2.3666666666666667</v>
      </c>
      <c r="J100" s="44">
        <v>0.61</v>
      </c>
      <c r="K100" s="37">
        <v>0.56999999999999995</v>
      </c>
      <c r="M100" s="430">
        <f t="shared" si="10"/>
        <v>0.59</v>
      </c>
    </row>
    <row r="101" spans="2:13" x14ac:dyDescent="0.25">
      <c r="B101" s="628"/>
      <c r="C101" s="696"/>
      <c r="D101" s="657"/>
      <c r="E101" s="197" t="s">
        <v>118</v>
      </c>
      <c r="F101" s="37">
        <v>1.91</v>
      </c>
      <c r="G101" s="37">
        <v>1.84</v>
      </c>
      <c r="H101" s="37">
        <v>2.0499999999999998</v>
      </c>
      <c r="I101" s="430">
        <f t="shared" si="9"/>
        <v>1.9333333333333333</v>
      </c>
      <c r="J101" s="44">
        <v>0.47</v>
      </c>
      <c r="K101" s="37">
        <v>0.49</v>
      </c>
      <c r="M101" s="430">
        <f t="shared" si="10"/>
        <v>0.48</v>
      </c>
    </row>
    <row r="102" spans="2:13" x14ac:dyDescent="0.25">
      <c r="B102" s="628"/>
      <c r="C102" s="696"/>
      <c r="D102" s="657"/>
      <c r="E102" s="197" t="s">
        <v>119</v>
      </c>
      <c r="F102" s="37">
        <v>2.11</v>
      </c>
      <c r="G102" s="37">
        <v>1.91</v>
      </c>
      <c r="H102" s="37">
        <v>2.0099999999999998</v>
      </c>
      <c r="I102" s="430">
        <f t="shared" si="9"/>
        <v>2.0099999999999998</v>
      </c>
      <c r="J102" s="44">
        <v>0.5</v>
      </c>
      <c r="K102" s="37">
        <v>0.54</v>
      </c>
      <c r="M102" s="430">
        <f t="shared" si="10"/>
        <v>0.52</v>
      </c>
    </row>
    <row r="103" spans="2:13" x14ac:dyDescent="0.25">
      <c r="B103" s="628"/>
      <c r="C103" s="696"/>
      <c r="D103" s="657"/>
      <c r="E103" s="197" t="s">
        <v>120</v>
      </c>
      <c r="F103" s="37">
        <v>2.25</v>
      </c>
      <c r="G103" s="37">
        <v>1.81</v>
      </c>
      <c r="H103" s="37">
        <v>3</v>
      </c>
      <c r="I103" s="430">
        <f t="shared" si="9"/>
        <v>2.3533333333333335</v>
      </c>
      <c r="J103" s="44">
        <v>0.56999999999999995</v>
      </c>
      <c r="K103" s="37">
        <v>0.62</v>
      </c>
      <c r="M103" s="430">
        <f t="shared" si="10"/>
        <v>0.59499999999999997</v>
      </c>
    </row>
    <row r="104" spans="2:13" x14ac:dyDescent="0.25">
      <c r="B104" s="628"/>
      <c r="C104" s="697"/>
      <c r="D104" s="658"/>
      <c r="E104" s="249" t="s">
        <v>121</v>
      </c>
      <c r="F104" s="151">
        <v>1.97</v>
      </c>
      <c r="G104" s="151">
        <v>1.88</v>
      </c>
      <c r="H104" s="151">
        <v>1.78</v>
      </c>
      <c r="I104" s="427">
        <f t="shared" si="9"/>
        <v>1.8766666666666667</v>
      </c>
      <c r="J104" s="426">
        <v>0.52</v>
      </c>
      <c r="K104" s="151">
        <v>0.56999999999999995</v>
      </c>
      <c r="L104" s="151"/>
      <c r="M104" s="427">
        <f t="shared" si="10"/>
        <v>0.54499999999999993</v>
      </c>
    </row>
    <row r="105" spans="2:13" x14ac:dyDescent="0.25">
      <c r="B105" s="628"/>
      <c r="C105" s="695" t="s">
        <v>63</v>
      </c>
      <c r="D105" s="680" t="s">
        <v>12</v>
      </c>
      <c r="E105" s="197" t="s">
        <v>117</v>
      </c>
      <c r="F105" s="37">
        <v>1.83</v>
      </c>
      <c r="G105" s="37">
        <v>1.55</v>
      </c>
      <c r="H105" s="37">
        <v>1.69</v>
      </c>
      <c r="I105" s="430">
        <f t="shared" si="9"/>
        <v>1.6900000000000002</v>
      </c>
      <c r="J105" s="44">
        <v>0.54</v>
      </c>
      <c r="K105" s="37">
        <v>0.53</v>
      </c>
      <c r="M105" s="430">
        <f t="shared" si="10"/>
        <v>0.53500000000000003</v>
      </c>
    </row>
    <row r="106" spans="2:13" x14ac:dyDescent="0.25">
      <c r="B106" s="628"/>
      <c r="C106" s="696"/>
      <c r="D106" s="657"/>
      <c r="E106" s="197" t="s">
        <v>118</v>
      </c>
      <c r="F106" s="37">
        <v>1.88</v>
      </c>
      <c r="G106" s="37">
        <v>1.94</v>
      </c>
      <c r="I106" s="430">
        <f>AVERAGE(F106:H106)</f>
        <v>1.91</v>
      </c>
      <c r="J106" s="44">
        <v>0.59</v>
      </c>
      <c r="K106" s="37">
        <v>0.56999999999999995</v>
      </c>
      <c r="M106" s="430">
        <f t="shared" si="10"/>
        <v>0.57999999999999996</v>
      </c>
    </row>
    <row r="107" spans="2:13" x14ac:dyDescent="0.25">
      <c r="B107" s="628"/>
      <c r="C107" s="696"/>
      <c r="D107" s="657"/>
      <c r="E107" s="197" t="s">
        <v>119</v>
      </c>
      <c r="F107" s="37">
        <v>1.97</v>
      </c>
      <c r="G107" s="37">
        <v>2.59</v>
      </c>
      <c r="H107" s="37">
        <v>2.25</v>
      </c>
      <c r="I107" s="430">
        <f t="shared" ref="I107:I131" si="11">AVERAGE(F107:H107)</f>
        <v>2.27</v>
      </c>
      <c r="J107" s="44">
        <v>0.62</v>
      </c>
      <c r="K107" s="37">
        <v>0.61</v>
      </c>
      <c r="M107" s="430">
        <f t="shared" si="10"/>
        <v>0.61499999999999999</v>
      </c>
    </row>
    <row r="108" spans="2:13" x14ac:dyDescent="0.25">
      <c r="B108" s="628"/>
      <c r="C108" s="696"/>
      <c r="D108" s="657"/>
      <c r="E108" s="197" t="s">
        <v>120</v>
      </c>
      <c r="F108" s="37">
        <v>3.07</v>
      </c>
      <c r="G108" s="37">
        <v>2.1</v>
      </c>
      <c r="H108" s="37">
        <v>2.15</v>
      </c>
      <c r="I108" s="430">
        <f t="shared" si="11"/>
        <v>2.44</v>
      </c>
      <c r="J108" s="44">
        <v>0.59</v>
      </c>
      <c r="K108" s="37">
        <v>0.67</v>
      </c>
      <c r="L108" s="37">
        <v>0.6</v>
      </c>
      <c r="M108" s="430">
        <f t="shared" si="10"/>
        <v>0.62</v>
      </c>
    </row>
    <row r="109" spans="2:13" x14ac:dyDescent="0.25">
      <c r="B109" s="628"/>
      <c r="C109" s="697"/>
      <c r="D109" s="658"/>
      <c r="E109" s="249" t="s">
        <v>121</v>
      </c>
      <c r="F109" s="151">
        <v>1.78</v>
      </c>
      <c r="G109" s="151">
        <v>1.91</v>
      </c>
      <c r="H109" s="151">
        <v>2.0099999999999998</v>
      </c>
      <c r="I109" s="427">
        <f t="shared" si="11"/>
        <v>1.8999999999999997</v>
      </c>
      <c r="J109" s="426">
        <v>0.56000000000000005</v>
      </c>
      <c r="K109" s="151">
        <v>0.63</v>
      </c>
      <c r="L109" s="151">
        <v>0.59</v>
      </c>
      <c r="M109" s="427">
        <f>AVERAGE(J109:L109)</f>
        <v>0.59333333333333327</v>
      </c>
    </row>
    <row r="110" spans="2:13" x14ac:dyDescent="0.25">
      <c r="B110" s="628"/>
      <c r="C110" s="54" t="s">
        <v>42</v>
      </c>
      <c r="D110" s="54" t="s">
        <v>145</v>
      </c>
      <c r="E110" s="249" t="s">
        <v>117</v>
      </c>
      <c r="F110" s="151">
        <v>1.77</v>
      </c>
      <c r="G110" s="151">
        <v>1.79</v>
      </c>
      <c r="H110" s="151"/>
      <c r="I110" s="427">
        <f t="shared" si="11"/>
        <v>1.78</v>
      </c>
      <c r="J110" s="426">
        <v>0.57999999999999996</v>
      </c>
      <c r="K110" s="151">
        <v>0.56999999999999995</v>
      </c>
      <c r="L110" s="151"/>
      <c r="M110" s="427">
        <f>AVERAGE(J110:L110)</f>
        <v>0.57499999999999996</v>
      </c>
    </row>
    <row r="111" spans="2:13" x14ac:dyDescent="0.25">
      <c r="B111" s="628"/>
      <c r="C111" s="695" t="s">
        <v>63</v>
      </c>
      <c r="D111" s="680" t="s">
        <v>145</v>
      </c>
      <c r="E111" s="197" t="s">
        <v>117</v>
      </c>
      <c r="F111" s="37">
        <v>1.88</v>
      </c>
      <c r="G111" s="37">
        <v>1.83</v>
      </c>
      <c r="I111" s="430">
        <f t="shared" si="11"/>
        <v>1.855</v>
      </c>
      <c r="J111" s="44">
        <v>0.52</v>
      </c>
      <c r="K111" s="37">
        <v>0.55000000000000004</v>
      </c>
      <c r="M111" s="430">
        <f>AVERAGE(J111:L111)</f>
        <v>0.53500000000000003</v>
      </c>
    </row>
    <row r="112" spans="2:13" x14ac:dyDescent="0.25">
      <c r="B112" s="628"/>
      <c r="C112" s="696"/>
      <c r="D112" s="657"/>
      <c r="E112" s="197" t="s">
        <v>118</v>
      </c>
      <c r="F112" s="37">
        <v>1.66</v>
      </c>
      <c r="G112" s="37">
        <v>1.88</v>
      </c>
      <c r="H112" s="37">
        <v>2.08</v>
      </c>
      <c r="I112" s="430">
        <f t="shared" si="11"/>
        <v>1.8733333333333333</v>
      </c>
      <c r="J112" s="44">
        <v>0.49</v>
      </c>
      <c r="K112" s="37">
        <v>0.57999999999999996</v>
      </c>
      <c r="L112" s="37">
        <v>0.48</v>
      </c>
      <c r="M112" s="430">
        <f>AVERAGE(J112:L112)</f>
        <v>0.51666666666666661</v>
      </c>
    </row>
    <row r="113" spans="2:13" ht="15.75" thickBot="1" x14ac:dyDescent="0.3">
      <c r="B113" s="629"/>
      <c r="C113" s="639"/>
      <c r="D113" s="636"/>
      <c r="E113" s="78" t="s">
        <v>119</v>
      </c>
      <c r="F113" s="33">
        <v>1.59</v>
      </c>
      <c r="G113" s="33">
        <v>1.79</v>
      </c>
      <c r="H113" s="33">
        <v>1.84</v>
      </c>
      <c r="I113" s="431">
        <f t="shared" si="11"/>
        <v>1.74</v>
      </c>
      <c r="J113" s="32">
        <v>0.54</v>
      </c>
      <c r="K113" s="33">
        <v>0.51</v>
      </c>
      <c r="L113" s="33"/>
      <c r="M113" s="431">
        <f>AVERAGE(J113:L113)</f>
        <v>0.52500000000000002</v>
      </c>
    </row>
    <row r="114" spans="2:13" x14ac:dyDescent="0.25">
      <c r="B114" s="644" t="s">
        <v>710</v>
      </c>
      <c r="C114" s="665" t="s">
        <v>63</v>
      </c>
      <c r="D114" s="635" t="s">
        <v>12</v>
      </c>
      <c r="E114" s="196" t="s">
        <v>46</v>
      </c>
      <c r="F114" s="43">
        <v>1.6</v>
      </c>
      <c r="G114" s="39">
        <v>1.67</v>
      </c>
      <c r="H114" s="39"/>
      <c r="I114" s="68">
        <f t="shared" si="11"/>
        <v>1.635</v>
      </c>
      <c r="J114" s="39">
        <v>0.53</v>
      </c>
      <c r="K114" s="39">
        <v>0.56000000000000005</v>
      </c>
      <c r="L114" s="39"/>
      <c r="M114" s="68">
        <f t="shared" ref="M114:M131" si="12">AVERAGE(J114:L114)</f>
        <v>0.54500000000000004</v>
      </c>
    </row>
    <row r="115" spans="2:13" x14ac:dyDescent="0.25">
      <c r="B115" s="645"/>
      <c r="C115" s="666"/>
      <c r="D115" s="657"/>
      <c r="E115" s="197" t="s">
        <v>44</v>
      </c>
      <c r="F115" s="44">
        <v>1.62</v>
      </c>
      <c r="G115" s="37">
        <v>1.65</v>
      </c>
      <c r="I115" s="70">
        <f t="shared" si="11"/>
        <v>1.635</v>
      </c>
      <c r="J115" s="37">
        <v>0.54</v>
      </c>
      <c r="K115" s="37">
        <v>0.52</v>
      </c>
      <c r="M115" s="70">
        <f t="shared" si="12"/>
        <v>0.53</v>
      </c>
    </row>
    <row r="116" spans="2:13" x14ac:dyDescent="0.25">
      <c r="B116" s="645"/>
      <c r="C116" s="666"/>
      <c r="D116" s="657"/>
      <c r="E116" s="197" t="s">
        <v>45</v>
      </c>
      <c r="F116" s="44">
        <v>1.4</v>
      </c>
      <c r="G116" s="37">
        <v>1.43</v>
      </c>
      <c r="I116" s="70">
        <f t="shared" si="11"/>
        <v>1.415</v>
      </c>
      <c r="J116" s="37">
        <v>0.48</v>
      </c>
      <c r="K116" s="37">
        <v>0.49</v>
      </c>
      <c r="M116" s="70">
        <f t="shared" si="12"/>
        <v>0.48499999999999999</v>
      </c>
    </row>
    <row r="117" spans="2:13" x14ac:dyDescent="0.25">
      <c r="B117" s="645"/>
      <c r="C117" s="666"/>
      <c r="D117" s="657"/>
      <c r="E117" s="197" t="s">
        <v>47</v>
      </c>
      <c r="F117" s="44">
        <v>1.27</v>
      </c>
      <c r="G117" s="37">
        <v>1.38</v>
      </c>
      <c r="H117" s="37">
        <v>1.46</v>
      </c>
      <c r="I117" s="70">
        <f t="shared" si="11"/>
        <v>1.3699999999999999</v>
      </c>
      <c r="J117" s="37">
        <v>0.47</v>
      </c>
      <c r="K117" s="37">
        <v>0.44</v>
      </c>
      <c r="M117" s="70">
        <f t="shared" si="12"/>
        <v>0.45499999999999996</v>
      </c>
    </row>
    <row r="118" spans="2:13" x14ac:dyDescent="0.25">
      <c r="B118" s="645"/>
      <c r="C118" s="666"/>
      <c r="D118" s="658"/>
      <c r="E118" s="249" t="s">
        <v>48</v>
      </c>
      <c r="F118" s="426">
        <v>1.53</v>
      </c>
      <c r="G118" s="151">
        <v>1.67</v>
      </c>
      <c r="H118" s="151">
        <v>1.64</v>
      </c>
      <c r="I118" s="603">
        <f t="shared" si="11"/>
        <v>1.6133333333333333</v>
      </c>
      <c r="J118" s="151"/>
      <c r="K118" s="151"/>
      <c r="L118" s="151"/>
      <c r="M118" s="603" t="e">
        <f t="shared" si="12"/>
        <v>#DIV/0!</v>
      </c>
    </row>
    <row r="119" spans="2:13" x14ac:dyDescent="0.25">
      <c r="B119" s="645"/>
      <c r="C119" s="666"/>
      <c r="D119" s="657" t="s">
        <v>145</v>
      </c>
      <c r="E119" s="197" t="s">
        <v>49</v>
      </c>
      <c r="F119" s="44">
        <v>1.5</v>
      </c>
      <c r="G119" s="37">
        <v>1.59</v>
      </c>
      <c r="I119" s="70">
        <f t="shared" si="11"/>
        <v>1.5449999999999999</v>
      </c>
      <c r="J119" s="37">
        <v>0.46</v>
      </c>
      <c r="K119" s="37">
        <v>0.54</v>
      </c>
      <c r="L119" s="37">
        <v>0.48</v>
      </c>
      <c r="M119" s="70">
        <f t="shared" si="12"/>
        <v>0.49333333333333335</v>
      </c>
    </row>
    <row r="120" spans="2:13" x14ac:dyDescent="0.25">
      <c r="B120" s="645"/>
      <c r="C120" s="666"/>
      <c r="D120" s="657"/>
      <c r="E120" s="197" t="s">
        <v>711</v>
      </c>
      <c r="F120" s="44">
        <v>1.4</v>
      </c>
      <c r="G120" s="37">
        <v>1.47</v>
      </c>
      <c r="I120" s="70">
        <f t="shared" si="11"/>
        <v>1.4350000000000001</v>
      </c>
      <c r="J120" s="37">
        <v>0.44</v>
      </c>
      <c r="K120" s="37">
        <v>0.52</v>
      </c>
      <c r="L120" s="37">
        <v>0.45</v>
      </c>
      <c r="M120" s="70">
        <f t="shared" si="12"/>
        <v>0.47</v>
      </c>
    </row>
    <row r="121" spans="2:13" x14ac:dyDescent="0.25">
      <c r="B121" s="645"/>
      <c r="C121" s="666"/>
      <c r="D121" s="657"/>
      <c r="E121" s="197" t="s">
        <v>712</v>
      </c>
      <c r="F121" s="44">
        <v>1.75</v>
      </c>
      <c r="G121" s="37">
        <v>1.77</v>
      </c>
      <c r="I121" s="70">
        <f t="shared" si="11"/>
        <v>1.76</v>
      </c>
      <c r="J121" s="37">
        <v>0.53</v>
      </c>
      <c r="K121" s="37">
        <v>0.48</v>
      </c>
      <c r="M121" s="70">
        <f t="shared" si="12"/>
        <v>0.505</v>
      </c>
    </row>
    <row r="122" spans="2:13" x14ac:dyDescent="0.25">
      <c r="B122" s="645"/>
      <c r="C122" s="666"/>
      <c r="D122" s="657"/>
      <c r="E122" s="197" t="s">
        <v>713</v>
      </c>
      <c r="F122" s="44">
        <v>1.54</v>
      </c>
      <c r="G122" s="37">
        <v>1.6</v>
      </c>
      <c r="I122" s="70">
        <f t="shared" si="11"/>
        <v>1.57</v>
      </c>
      <c r="J122" s="37">
        <v>0.47</v>
      </c>
      <c r="K122" s="37">
        <v>0.43</v>
      </c>
      <c r="M122" s="70">
        <f t="shared" si="12"/>
        <v>0.44999999999999996</v>
      </c>
    </row>
    <row r="123" spans="2:13" ht="15.75" thickBot="1" x14ac:dyDescent="0.3">
      <c r="B123" s="646"/>
      <c r="C123" s="683"/>
      <c r="D123" s="636"/>
      <c r="E123" s="78" t="s">
        <v>714</v>
      </c>
      <c r="F123" s="32">
        <v>0.91</v>
      </c>
      <c r="G123" s="33">
        <v>1.03</v>
      </c>
      <c r="H123" s="33">
        <v>1.02</v>
      </c>
      <c r="I123" s="71">
        <f t="shared" si="11"/>
        <v>0.98666666666666669</v>
      </c>
      <c r="J123" s="33">
        <v>0.34</v>
      </c>
      <c r="K123" s="33">
        <v>0.32</v>
      </c>
      <c r="L123" s="33"/>
      <c r="M123" s="71">
        <f t="shared" si="12"/>
        <v>0.33</v>
      </c>
    </row>
    <row r="124" spans="2:13" x14ac:dyDescent="0.25">
      <c r="B124" s="627" t="s">
        <v>715</v>
      </c>
      <c r="C124" s="638" t="s">
        <v>42</v>
      </c>
      <c r="D124" s="638" t="s">
        <v>12</v>
      </c>
      <c r="E124" s="39" t="s">
        <v>46</v>
      </c>
      <c r="F124" s="43">
        <v>1.9</v>
      </c>
      <c r="G124" s="39">
        <v>1.88</v>
      </c>
      <c r="H124" s="39"/>
      <c r="I124" s="429">
        <f t="shared" si="11"/>
        <v>1.89</v>
      </c>
      <c r="J124" s="39">
        <v>0.48</v>
      </c>
      <c r="K124" s="39">
        <v>0.57999999999999996</v>
      </c>
      <c r="L124" s="39">
        <v>0.56999999999999995</v>
      </c>
      <c r="M124" s="429">
        <f t="shared" si="12"/>
        <v>0.54333333333333333</v>
      </c>
    </row>
    <row r="125" spans="2:13" x14ac:dyDescent="0.25">
      <c r="B125" s="628"/>
      <c r="C125" s="696"/>
      <c r="D125" s="696"/>
      <c r="E125" s="37" t="s">
        <v>44</v>
      </c>
      <c r="F125" s="44">
        <v>1.69</v>
      </c>
      <c r="G125" s="37">
        <v>1.84</v>
      </c>
      <c r="H125" s="37">
        <v>1.89</v>
      </c>
      <c r="I125" s="430">
        <f t="shared" si="11"/>
        <v>1.8066666666666666</v>
      </c>
      <c r="J125" s="37">
        <v>0.48</v>
      </c>
      <c r="K125" s="37">
        <v>0.52</v>
      </c>
      <c r="M125" s="430">
        <f t="shared" si="12"/>
        <v>0.5</v>
      </c>
    </row>
    <row r="126" spans="2:13" x14ac:dyDescent="0.25">
      <c r="B126" s="628"/>
      <c r="C126" s="696"/>
      <c r="D126" s="696"/>
      <c r="E126" s="37" t="s">
        <v>45</v>
      </c>
      <c r="F126" s="44">
        <v>1.57</v>
      </c>
      <c r="G126" s="37">
        <v>1.58</v>
      </c>
      <c r="I126" s="430">
        <f t="shared" si="11"/>
        <v>1.5750000000000002</v>
      </c>
      <c r="J126" s="37">
        <v>0.41</v>
      </c>
      <c r="K126" s="37">
        <v>0.51</v>
      </c>
      <c r="L126" s="37">
        <v>0.49</v>
      </c>
      <c r="M126" s="430">
        <f t="shared" si="12"/>
        <v>0.47</v>
      </c>
    </row>
    <row r="127" spans="2:13" x14ac:dyDescent="0.25">
      <c r="B127" s="628"/>
      <c r="C127" s="696"/>
      <c r="D127" s="696"/>
      <c r="E127" s="37" t="s">
        <v>47</v>
      </c>
      <c r="F127" s="44">
        <v>1.66</v>
      </c>
      <c r="G127" s="37">
        <v>1.74</v>
      </c>
      <c r="I127" s="430">
        <f t="shared" si="11"/>
        <v>1.7</v>
      </c>
      <c r="J127" s="37">
        <v>0.44</v>
      </c>
      <c r="K127" s="37">
        <v>0.55000000000000004</v>
      </c>
      <c r="L127" s="37">
        <v>0.53</v>
      </c>
      <c r="M127" s="430">
        <f t="shared" si="12"/>
        <v>0.50666666666666671</v>
      </c>
    </row>
    <row r="128" spans="2:13" x14ac:dyDescent="0.25">
      <c r="B128" s="628"/>
      <c r="C128" s="696"/>
      <c r="D128" s="696"/>
      <c r="E128" s="37" t="s">
        <v>48</v>
      </c>
      <c r="F128" s="44">
        <v>1.71</v>
      </c>
      <c r="G128" s="37">
        <v>1.57</v>
      </c>
      <c r="H128" s="37">
        <v>1.62</v>
      </c>
      <c r="I128" s="430">
        <f t="shared" si="11"/>
        <v>1.6333333333333335</v>
      </c>
      <c r="J128" s="37">
        <v>0.43</v>
      </c>
      <c r="K128" s="37">
        <v>0.56999999999999995</v>
      </c>
      <c r="L128" s="37">
        <v>0.53</v>
      </c>
      <c r="M128" s="430">
        <f t="shared" si="12"/>
        <v>0.51</v>
      </c>
    </row>
    <row r="129" spans="2:13" x14ac:dyDescent="0.25">
      <c r="B129" s="628"/>
      <c r="C129" s="696"/>
      <c r="D129" s="696"/>
      <c r="E129" s="37" t="s">
        <v>49</v>
      </c>
      <c r="F129" s="44">
        <v>1.76</v>
      </c>
      <c r="G129" s="37">
        <v>1.74</v>
      </c>
      <c r="I129" s="430">
        <f t="shared" si="11"/>
        <v>1.75</v>
      </c>
      <c r="J129" s="37">
        <v>0.55000000000000004</v>
      </c>
      <c r="K129" s="37">
        <v>0.42</v>
      </c>
      <c r="L129" s="37">
        <v>0.56999999999999995</v>
      </c>
      <c r="M129" s="430">
        <f t="shared" si="12"/>
        <v>0.51333333333333331</v>
      </c>
    </row>
    <row r="130" spans="2:13" x14ac:dyDescent="0.25">
      <c r="B130" s="628"/>
      <c r="C130" s="696"/>
      <c r="D130" s="696"/>
      <c r="E130" s="37" t="s">
        <v>711</v>
      </c>
      <c r="F130" s="44">
        <v>1.4</v>
      </c>
      <c r="G130" s="37">
        <v>1.54</v>
      </c>
      <c r="H130" s="37">
        <v>1.58</v>
      </c>
      <c r="I130" s="430">
        <f t="shared" si="11"/>
        <v>1.5066666666666666</v>
      </c>
      <c r="J130" s="37">
        <v>0.47</v>
      </c>
      <c r="K130" s="37">
        <v>0.56000000000000005</v>
      </c>
      <c r="L130" s="37">
        <v>0.56999999999999995</v>
      </c>
      <c r="M130" s="430">
        <f t="shared" si="12"/>
        <v>0.53333333333333333</v>
      </c>
    </row>
    <row r="131" spans="2:13" ht="15.75" thickBot="1" x14ac:dyDescent="0.3">
      <c r="B131" s="629"/>
      <c r="C131" s="639"/>
      <c r="D131" s="639"/>
      <c r="E131" s="33" t="s">
        <v>712</v>
      </c>
      <c r="F131" s="32">
        <v>1.69</v>
      </c>
      <c r="G131" s="33">
        <v>1.74</v>
      </c>
      <c r="H131" s="33"/>
      <c r="I131" s="431">
        <f t="shared" si="11"/>
        <v>1.7149999999999999</v>
      </c>
      <c r="J131" s="33">
        <v>0.48</v>
      </c>
      <c r="K131" s="33">
        <v>0.56000000000000005</v>
      </c>
      <c r="L131" s="33">
        <v>0.55000000000000004</v>
      </c>
      <c r="M131" s="431">
        <f t="shared" si="12"/>
        <v>0.53</v>
      </c>
    </row>
  </sheetData>
  <mergeCells count="64">
    <mergeCell ref="D82:D88"/>
    <mergeCell ref="C82:C88"/>
    <mergeCell ref="B82:B88"/>
    <mergeCell ref="D89:D97"/>
    <mergeCell ref="C89:C97"/>
    <mergeCell ref="B89:B97"/>
    <mergeCell ref="D67:D76"/>
    <mergeCell ref="C67:C76"/>
    <mergeCell ref="B67:B76"/>
    <mergeCell ref="D77:D81"/>
    <mergeCell ref="C77:C81"/>
    <mergeCell ref="B77:B81"/>
    <mergeCell ref="D58:D66"/>
    <mergeCell ref="C58:C66"/>
    <mergeCell ref="B58:B66"/>
    <mergeCell ref="B44:B47"/>
    <mergeCell ref="B48:B57"/>
    <mergeCell ref="D48:D57"/>
    <mergeCell ref="C48:C57"/>
    <mergeCell ref="D44:D47"/>
    <mergeCell ref="C44:C47"/>
    <mergeCell ref="B3:B8"/>
    <mergeCell ref="B9:B13"/>
    <mergeCell ref="B38:B43"/>
    <mergeCell ref="B26:B31"/>
    <mergeCell ref="B32:B37"/>
    <mergeCell ref="B14:B19"/>
    <mergeCell ref="B20:B25"/>
    <mergeCell ref="C1:C2"/>
    <mergeCell ref="D38:D43"/>
    <mergeCell ref="C38:C43"/>
    <mergeCell ref="D32:D37"/>
    <mergeCell ref="C32:C37"/>
    <mergeCell ref="B98:B113"/>
    <mergeCell ref="B1:B2"/>
    <mergeCell ref="J1:M1"/>
    <mergeCell ref="D26:D31"/>
    <mergeCell ref="D20:D25"/>
    <mergeCell ref="C20:C25"/>
    <mergeCell ref="D14:D19"/>
    <mergeCell ref="C14:C19"/>
    <mergeCell ref="D9:D13"/>
    <mergeCell ref="C3:C8"/>
    <mergeCell ref="C9:C13"/>
    <mergeCell ref="D3:D8"/>
    <mergeCell ref="C26:C31"/>
    <mergeCell ref="F1:I1"/>
    <mergeCell ref="E1:E2"/>
    <mergeCell ref="D1:D2"/>
    <mergeCell ref="D98:D99"/>
    <mergeCell ref="D100:D104"/>
    <mergeCell ref="D105:D109"/>
    <mergeCell ref="D111:D113"/>
    <mergeCell ref="C111:C113"/>
    <mergeCell ref="C105:C109"/>
    <mergeCell ref="C100:C104"/>
    <mergeCell ref="C98:C99"/>
    <mergeCell ref="D124:D131"/>
    <mergeCell ref="C124:C131"/>
    <mergeCell ref="B124:B131"/>
    <mergeCell ref="D119:D123"/>
    <mergeCell ref="D114:D118"/>
    <mergeCell ref="C114:C123"/>
    <mergeCell ref="B114:B123"/>
  </mergeCells>
  <phoneticPr fontId="11" type="noConversion"/>
  <hyperlinks>
    <hyperlink ref="A1" location="'Table of Contents'!A1" display="Table of Contents" xr:uid="{051B355B-E0F9-484F-8482-07D41C4283F8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2443-DAF5-4835-BB04-533A7033CDC0}">
  <dimension ref="A1:CR61"/>
  <sheetViews>
    <sheetView topLeftCell="BT1" zoomScaleNormal="100" workbookViewId="0">
      <selection activeCell="CM22" sqref="CM22"/>
    </sheetView>
  </sheetViews>
  <sheetFormatPr defaultRowHeight="15" x14ac:dyDescent="0.25"/>
  <cols>
    <col min="1" max="1" width="16.28515625" customWidth="1"/>
    <col min="3" max="4" width="12" customWidth="1"/>
    <col min="6" max="6" width="13.5703125" customWidth="1"/>
    <col min="7" max="7" width="10.7109375" customWidth="1"/>
    <col min="9" max="10" width="14.42578125" customWidth="1"/>
    <col min="11" max="11" width="10.85546875" customWidth="1"/>
    <col min="14" max="14" width="9.85546875" customWidth="1"/>
    <col min="16" max="16" width="11.42578125" customWidth="1"/>
    <col min="20" max="20" width="10.7109375" customWidth="1"/>
    <col min="21" max="21" width="9.28515625" customWidth="1"/>
    <col min="30" max="30" width="8.140625" customWidth="1"/>
    <col min="31" max="31" width="11.140625" customWidth="1"/>
    <col min="34" max="34" width="10.140625" customWidth="1"/>
    <col min="35" max="35" width="11" customWidth="1"/>
    <col min="37" max="37" width="10.5703125" customWidth="1"/>
    <col min="38" max="38" width="7.85546875" customWidth="1"/>
    <col min="46" max="46" width="11.140625" customWidth="1"/>
    <col min="49" max="49" width="10.140625" customWidth="1"/>
    <col min="50" max="50" width="11.140625" customWidth="1"/>
    <col min="74" max="74" width="11.7109375" customWidth="1"/>
    <col min="75" max="75" width="12.7109375" customWidth="1"/>
    <col min="76" max="76" width="11.140625" customWidth="1"/>
    <col min="79" max="79" width="13.42578125" customWidth="1"/>
    <col min="81" max="81" width="12.42578125" customWidth="1"/>
    <col min="82" max="82" width="14.5703125" customWidth="1"/>
    <col min="86" max="86" width="11.140625" customWidth="1"/>
    <col min="87" max="87" width="10.28515625" customWidth="1"/>
    <col min="89" max="89" width="7.85546875" customWidth="1"/>
    <col min="90" max="90" width="11.42578125" customWidth="1"/>
    <col min="91" max="91" width="13.5703125" customWidth="1"/>
    <col min="95" max="95" width="13.85546875" customWidth="1"/>
  </cols>
  <sheetData>
    <row r="1" spans="1:96" ht="15.75" thickBot="1" x14ac:dyDescent="0.3">
      <c r="A1" s="38" t="s">
        <v>9</v>
      </c>
      <c r="B1" s="704" t="s">
        <v>162</v>
      </c>
      <c r="C1" s="705"/>
      <c r="D1" s="705"/>
      <c r="E1" s="705"/>
      <c r="F1" s="705"/>
      <c r="G1" s="705"/>
      <c r="H1" s="705"/>
      <c r="I1" s="705"/>
      <c r="J1" s="705"/>
      <c r="K1" s="705"/>
      <c r="L1" s="706"/>
      <c r="N1" s="704" t="s">
        <v>189</v>
      </c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6"/>
      <c r="AC1" s="704" t="s">
        <v>198</v>
      </c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6"/>
      <c r="AQ1" s="37"/>
      <c r="AR1" s="704" t="s">
        <v>197</v>
      </c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6"/>
      <c r="BV1" s="704" t="s">
        <v>210</v>
      </c>
      <c r="BW1" s="705"/>
      <c r="BX1" s="705"/>
      <c r="BY1" s="705"/>
      <c r="BZ1" s="705"/>
      <c r="CA1" s="705"/>
      <c r="CB1" s="705"/>
      <c r="CC1" s="705"/>
      <c r="CD1" s="705"/>
      <c r="CE1" s="705"/>
      <c r="CF1" s="706"/>
      <c r="CH1" s="806" t="s">
        <v>716</v>
      </c>
      <c r="CI1" s="807"/>
      <c r="CJ1" s="807"/>
      <c r="CK1" s="807"/>
      <c r="CL1" s="807"/>
      <c r="CM1" s="807"/>
      <c r="CN1" s="807"/>
      <c r="CO1" s="807"/>
      <c r="CP1" s="807"/>
      <c r="CQ1" s="807"/>
      <c r="CR1" s="808"/>
    </row>
    <row r="2" spans="1:96" ht="15" customHeight="1" x14ac:dyDescent="0.25">
      <c r="B2" s="259" t="s">
        <v>10</v>
      </c>
      <c r="C2" s="265" t="s">
        <v>8</v>
      </c>
      <c r="D2" s="210" t="s">
        <v>56</v>
      </c>
      <c r="E2" s="259" t="s">
        <v>155</v>
      </c>
      <c r="F2" s="210" t="s">
        <v>156</v>
      </c>
      <c r="G2" s="210" t="s">
        <v>157</v>
      </c>
      <c r="H2" s="266" t="s">
        <v>163</v>
      </c>
      <c r="I2" s="259" t="s">
        <v>158</v>
      </c>
      <c r="J2" s="210" t="s">
        <v>159</v>
      </c>
      <c r="K2" s="210" t="s">
        <v>160</v>
      </c>
      <c r="L2" s="266" t="s">
        <v>163</v>
      </c>
      <c r="N2" s="689" t="s">
        <v>166</v>
      </c>
      <c r="O2" s="263" t="s">
        <v>164</v>
      </c>
      <c r="P2" s="210">
        <v>1</v>
      </c>
      <c r="Q2" s="210">
        <v>2</v>
      </c>
      <c r="R2" s="210">
        <v>3</v>
      </c>
      <c r="S2" s="210">
        <v>4</v>
      </c>
      <c r="T2" s="210">
        <v>5</v>
      </c>
      <c r="U2" s="210">
        <v>6</v>
      </c>
      <c r="V2" s="210">
        <v>7</v>
      </c>
      <c r="W2" s="210">
        <v>8</v>
      </c>
      <c r="X2" s="210">
        <v>9</v>
      </c>
      <c r="Y2" s="210">
        <v>10</v>
      </c>
      <c r="Z2" s="210">
        <v>11</v>
      </c>
      <c r="AA2" s="211">
        <v>12</v>
      </c>
      <c r="AC2" s="689" t="s">
        <v>166</v>
      </c>
      <c r="AD2" s="375" t="s">
        <v>164</v>
      </c>
      <c r="AE2" s="8">
        <v>1</v>
      </c>
      <c r="AF2" s="8">
        <v>2</v>
      </c>
      <c r="AG2" s="8">
        <v>3</v>
      </c>
      <c r="AH2" s="8">
        <v>4</v>
      </c>
      <c r="AI2" s="8">
        <v>5</v>
      </c>
      <c r="AJ2" s="8">
        <v>6</v>
      </c>
      <c r="AK2" s="8">
        <v>7</v>
      </c>
      <c r="AL2" s="8">
        <v>8</v>
      </c>
      <c r="AM2" s="8">
        <v>9</v>
      </c>
      <c r="AN2" s="8">
        <v>10</v>
      </c>
      <c r="AO2" s="8">
        <v>11</v>
      </c>
      <c r="AP2" s="9">
        <v>12</v>
      </c>
      <c r="AR2" s="689" t="s">
        <v>166</v>
      </c>
      <c r="AS2" s="375" t="s">
        <v>164</v>
      </c>
      <c r="AT2" s="8">
        <v>1</v>
      </c>
      <c r="AU2" s="8">
        <v>2</v>
      </c>
      <c r="AV2" s="8">
        <v>3</v>
      </c>
      <c r="AW2" s="8">
        <v>4</v>
      </c>
      <c r="AX2" s="8">
        <v>5</v>
      </c>
      <c r="AY2" s="8">
        <v>6</v>
      </c>
      <c r="AZ2" s="8">
        <v>7</v>
      </c>
      <c r="BA2" s="8">
        <v>8</v>
      </c>
      <c r="BB2" s="8">
        <v>9</v>
      </c>
      <c r="BC2" s="8">
        <v>10</v>
      </c>
      <c r="BD2" s="8">
        <v>11</v>
      </c>
      <c r="BE2" s="9">
        <v>12</v>
      </c>
      <c r="BG2" s="689" t="s">
        <v>166</v>
      </c>
      <c r="BH2" s="8" t="s">
        <v>164</v>
      </c>
      <c r="BI2" s="8">
        <v>1</v>
      </c>
      <c r="BJ2" s="8">
        <v>2</v>
      </c>
      <c r="BK2" s="8">
        <v>3</v>
      </c>
      <c r="BL2" s="8">
        <v>4</v>
      </c>
      <c r="BM2" s="8">
        <v>5</v>
      </c>
      <c r="BN2" s="8">
        <v>6</v>
      </c>
      <c r="BO2" s="8">
        <v>7</v>
      </c>
      <c r="BP2" s="8">
        <v>8</v>
      </c>
      <c r="BQ2" s="8">
        <v>9</v>
      </c>
      <c r="BR2" s="8">
        <v>10</v>
      </c>
      <c r="BS2" s="8">
        <v>11</v>
      </c>
      <c r="BT2" s="9">
        <v>12</v>
      </c>
      <c r="BV2" s="342" t="s">
        <v>8</v>
      </c>
      <c r="BW2" s="259" t="s">
        <v>10</v>
      </c>
      <c r="BX2" s="265" t="s">
        <v>56</v>
      </c>
      <c r="BY2" s="259" t="s">
        <v>155</v>
      </c>
      <c r="BZ2" s="210" t="s">
        <v>156</v>
      </c>
      <c r="CA2" s="210" t="s">
        <v>157</v>
      </c>
      <c r="CB2" s="266" t="s">
        <v>2</v>
      </c>
      <c r="CC2" s="210" t="s">
        <v>158</v>
      </c>
      <c r="CD2" s="210" t="s">
        <v>159</v>
      </c>
      <c r="CE2" s="210" t="s">
        <v>160</v>
      </c>
      <c r="CF2" s="266" t="s">
        <v>2</v>
      </c>
      <c r="CH2" s="342" t="s">
        <v>8</v>
      </c>
      <c r="CI2" s="259" t="s">
        <v>10</v>
      </c>
      <c r="CJ2" s="345" t="s">
        <v>56</v>
      </c>
      <c r="CK2" s="259" t="s">
        <v>155</v>
      </c>
      <c r="CL2" s="210" t="s">
        <v>156</v>
      </c>
      <c r="CM2" s="210" t="s">
        <v>157</v>
      </c>
      <c r="CN2" s="266" t="s">
        <v>2</v>
      </c>
      <c r="CO2" s="259" t="s">
        <v>158</v>
      </c>
      <c r="CP2" s="210" t="s">
        <v>159</v>
      </c>
      <c r="CQ2" s="210" t="s">
        <v>160</v>
      </c>
      <c r="CR2" s="266" t="s">
        <v>2</v>
      </c>
    </row>
    <row r="3" spans="1:96" x14ac:dyDescent="0.25">
      <c r="A3" t="s">
        <v>203</v>
      </c>
      <c r="B3" s="645" t="s">
        <v>143</v>
      </c>
      <c r="C3" s="93" t="s">
        <v>51</v>
      </c>
      <c r="D3" t="s">
        <v>46</v>
      </c>
      <c r="E3" s="80">
        <v>260.5</v>
      </c>
      <c r="F3" s="255">
        <f t="shared" ref="F3:F8" si="0">E3/$K$27</f>
        <v>6.3419800124161606E-3</v>
      </c>
      <c r="G3" s="255">
        <f t="shared" ref="G3:G22" si="1">$C$33*F3/24*0.25*1000</f>
        <v>8.0662138944976322E-4</v>
      </c>
      <c r="H3" s="802">
        <f>AVERAGE(G3:G8)</f>
        <v>6.6521751183668887E-4</v>
      </c>
      <c r="I3" s="80">
        <v>335.5</v>
      </c>
      <c r="J3" s="379">
        <f t="shared" ref="J3:J8" si="2">I3/$F$27</f>
        <v>4.9653498499665149E-4</v>
      </c>
      <c r="K3" s="379">
        <f t="shared" ref="K3:K22" si="3">$C$34*J3/24*0.25*1000</f>
        <v>4.3258401468168293</v>
      </c>
      <c r="L3" s="802">
        <f>AVERAGE(K3:K8)</f>
        <v>3.4780786277312665</v>
      </c>
      <c r="N3" s="690"/>
      <c r="O3" s="260" t="s">
        <v>13</v>
      </c>
      <c r="P3">
        <v>16470</v>
      </c>
      <c r="Q3">
        <v>9</v>
      </c>
      <c r="R3">
        <v>7</v>
      </c>
      <c r="S3">
        <v>6</v>
      </c>
      <c r="T3">
        <v>6</v>
      </c>
      <c r="U3">
        <v>6</v>
      </c>
      <c r="V3">
        <v>10</v>
      </c>
      <c r="W3">
        <v>3</v>
      </c>
      <c r="X3">
        <v>4</v>
      </c>
      <c r="Y3">
        <v>6</v>
      </c>
      <c r="Z3">
        <v>4</v>
      </c>
      <c r="AA3" s="4">
        <v>4</v>
      </c>
      <c r="AC3" s="690"/>
      <c r="AD3" s="80" t="s">
        <v>13</v>
      </c>
      <c r="AE3">
        <v>8232</v>
      </c>
      <c r="AF3">
        <v>6779</v>
      </c>
      <c r="AG3">
        <v>69</v>
      </c>
      <c r="AH3">
        <v>16</v>
      </c>
      <c r="AI3">
        <v>22</v>
      </c>
      <c r="AJ3">
        <v>5</v>
      </c>
      <c r="AK3">
        <v>5</v>
      </c>
      <c r="AL3">
        <v>2</v>
      </c>
      <c r="AM3">
        <v>3</v>
      </c>
      <c r="AN3">
        <v>3</v>
      </c>
      <c r="AO3">
        <v>4</v>
      </c>
      <c r="AP3" s="4">
        <v>4</v>
      </c>
      <c r="AR3" s="690"/>
      <c r="AS3" s="80" t="s">
        <v>13</v>
      </c>
      <c r="AT3">
        <v>843476</v>
      </c>
      <c r="AU3">
        <v>0</v>
      </c>
      <c r="AV3">
        <v>0</v>
      </c>
      <c r="AW3">
        <v>0</v>
      </c>
      <c r="AX3">
        <v>0</v>
      </c>
      <c r="AY3">
        <v>1</v>
      </c>
      <c r="AZ3">
        <v>4</v>
      </c>
      <c r="BA3">
        <v>4</v>
      </c>
      <c r="BB3">
        <v>5</v>
      </c>
      <c r="BC3">
        <v>4</v>
      </c>
      <c r="BD3">
        <v>5</v>
      </c>
      <c r="BE3" s="4">
        <v>7</v>
      </c>
      <c r="BG3" s="690"/>
      <c r="BH3" t="s">
        <v>13</v>
      </c>
      <c r="BI3">
        <v>13007</v>
      </c>
      <c r="BJ3">
        <v>7</v>
      </c>
      <c r="BK3">
        <v>2</v>
      </c>
      <c r="BL3">
        <v>3</v>
      </c>
      <c r="BM3">
        <v>2</v>
      </c>
      <c r="BN3">
        <v>4</v>
      </c>
      <c r="BO3">
        <v>2</v>
      </c>
      <c r="BP3">
        <v>4</v>
      </c>
      <c r="BQ3">
        <v>3</v>
      </c>
      <c r="BR3">
        <v>6</v>
      </c>
      <c r="BS3">
        <v>5</v>
      </c>
      <c r="BT3" s="4">
        <v>2</v>
      </c>
      <c r="BV3" s="782" t="s">
        <v>210</v>
      </c>
      <c r="BW3" s="783" t="s">
        <v>143</v>
      </c>
      <c r="BX3" s="93" t="s">
        <v>117</v>
      </c>
      <c r="BY3" s="80">
        <v>89.5</v>
      </c>
      <c r="BZ3">
        <v>2.9983249581239501E-2</v>
      </c>
      <c r="CA3">
        <v>3.81349836960846E-3</v>
      </c>
      <c r="CB3" s="785">
        <f>AVERAGE(CA3:CA7)</f>
        <v>6.0930756073073779E-3</v>
      </c>
      <c r="CC3">
        <v>483.5</v>
      </c>
      <c r="CD3">
        <v>5.5208496284987697E-4</v>
      </c>
      <c r="CE3">
        <v>4.8196797273940097</v>
      </c>
      <c r="CF3" s="785">
        <f>AVERAGE(CE3:CE7)</f>
        <v>4.7788096407708185</v>
      </c>
      <c r="CH3" s="772" t="s">
        <v>710</v>
      </c>
      <c r="CI3" s="680" t="s">
        <v>94</v>
      </c>
      <c r="CJ3" t="s">
        <v>46</v>
      </c>
      <c r="CK3" s="80">
        <v>214.5</v>
      </c>
      <c r="CL3">
        <v>2.8654252050549001E-3</v>
      </c>
      <c r="CM3">
        <v>3.3688689877000498E-4</v>
      </c>
      <c r="CN3" s="788">
        <f>AVERAGE(CM3:CM6)</f>
        <v>2.8073908230833724E-4</v>
      </c>
      <c r="CO3" s="80">
        <v>232.5</v>
      </c>
      <c r="CP3">
        <v>4.8646986083823501E-4</v>
      </c>
      <c r="CQ3">
        <v>4.2344080073723704</v>
      </c>
      <c r="CR3" s="788">
        <f>AVERAGE(CQ3:CQ6)</f>
        <v>3.4193982941254326</v>
      </c>
    </row>
    <row r="4" spans="1:96" x14ac:dyDescent="0.25">
      <c r="B4" s="645"/>
      <c r="C4" s="93" t="s">
        <v>51</v>
      </c>
      <c r="D4" t="s">
        <v>44</v>
      </c>
      <c r="E4" s="80">
        <v>179.5</v>
      </c>
      <c r="F4" s="255">
        <f t="shared" si="0"/>
        <v>4.3700015824518264E-3</v>
      </c>
      <c r="G4" s="255">
        <f t="shared" si="1"/>
        <v>5.5581013207766793E-4</v>
      </c>
      <c r="H4" s="802"/>
      <c r="I4" s="80">
        <v>181.5</v>
      </c>
      <c r="J4" s="379">
        <f t="shared" si="2"/>
        <v>2.6861728696540166E-4</v>
      </c>
      <c r="K4" s="379">
        <f t="shared" si="3"/>
        <v>2.340208604015662</v>
      </c>
      <c r="L4" s="802"/>
      <c r="N4" s="690"/>
      <c r="O4" s="261" t="s">
        <v>14</v>
      </c>
      <c r="P4">
        <v>11</v>
      </c>
      <c r="Q4">
        <v>8</v>
      </c>
      <c r="R4">
        <v>6</v>
      </c>
      <c r="S4">
        <v>8</v>
      </c>
      <c r="T4">
        <v>6</v>
      </c>
      <c r="U4">
        <v>8</v>
      </c>
      <c r="V4">
        <v>6</v>
      </c>
      <c r="W4">
        <v>3</v>
      </c>
      <c r="X4">
        <v>7</v>
      </c>
      <c r="Y4">
        <v>5</v>
      </c>
      <c r="Z4">
        <v>4</v>
      </c>
      <c r="AA4" s="4">
        <v>4</v>
      </c>
      <c r="AC4" s="690"/>
      <c r="AD4" s="80" t="s">
        <v>14</v>
      </c>
      <c r="AE4">
        <v>6414</v>
      </c>
      <c r="AF4">
        <v>1162</v>
      </c>
      <c r="AG4">
        <v>726</v>
      </c>
      <c r="AH4">
        <v>4524</v>
      </c>
      <c r="AI4">
        <v>805</v>
      </c>
      <c r="AJ4">
        <v>24</v>
      </c>
      <c r="AK4">
        <v>1</v>
      </c>
      <c r="AL4">
        <v>4</v>
      </c>
      <c r="AM4">
        <v>3</v>
      </c>
      <c r="AN4">
        <v>4</v>
      </c>
      <c r="AO4">
        <v>3</v>
      </c>
      <c r="AP4" s="4">
        <v>4</v>
      </c>
      <c r="AR4" s="690"/>
      <c r="AS4" s="80" t="s">
        <v>14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4</v>
      </c>
      <c r="BB4">
        <v>4</v>
      </c>
      <c r="BC4">
        <v>7</v>
      </c>
      <c r="BD4">
        <v>6</v>
      </c>
      <c r="BE4" s="4">
        <v>3</v>
      </c>
      <c r="BG4" s="690"/>
      <c r="BH4" t="s">
        <v>14</v>
      </c>
      <c r="BI4">
        <v>7</v>
      </c>
      <c r="BJ4">
        <v>5</v>
      </c>
      <c r="BK4">
        <v>3</v>
      </c>
      <c r="BL4">
        <v>6</v>
      </c>
      <c r="BM4">
        <v>3</v>
      </c>
      <c r="BN4">
        <v>5</v>
      </c>
      <c r="BO4">
        <v>5</v>
      </c>
      <c r="BP4">
        <v>2</v>
      </c>
      <c r="BQ4">
        <v>3</v>
      </c>
      <c r="BR4">
        <v>2</v>
      </c>
      <c r="BS4">
        <v>5</v>
      </c>
      <c r="BT4" s="4">
        <v>3</v>
      </c>
      <c r="BV4" s="648"/>
      <c r="BW4" s="645"/>
      <c r="BX4" s="93" t="s">
        <v>118</v>
      </c>
      <c r="BY4" s="80">
        <v>272.5</v>
      </c>
      <c r="BZ4">
        <v>9.1289782244556097E-2</v>
      </c>
      <c r="CA4">
        <v>1.16109307901487E-2</v>
      </c>
      <c r="CB4" s="785"/>
      <c r="CC4">
        <v>648</v>
      </c>
      <c r="CD4">
        <v>7.3991945382982497E-4</v>
      </c>
      <c r="CE4">
        <v>6.4594673492271406</v>
      </c>
      <c r="CF4" s="785"/>
      <c r="CH4" s="773"/>
      <c r="CI4" s="657"/>
      <c r="CJ4" t="s">
        <v>44</v>
      </c>
      <c r="CK4" s="80">
        <v>186</v>
      </c>
      <c r="CL4">
        <v>2.4847043736140398E-3</v>
      </c>
      <c r="CM4">
        <v>2.92125702429934E-4</v>
      </c>
      <c r="CN4" s="789"/>
      <c r="CO4" s="80">
        <v>218.5</v>
      </c>
      <c r="CP4">
        <v>4.5717705201356697E-4</v>
      </c>
      <c r="CQ4">
        <v>3.9794329015521002</v>
      </c>
      <c r="CR4" s="789"/>
    </row>
    <row r="5" spans="1:96" x14ac:dyDescent="0.25">
      <c r="B5" s="645"/>
      <c r="C5" s="93" t="s">
        <v>51</v>
      </c>
      <c r="D5" t="s">
        <v>45</v>
      </c>
      <c r="E5" s="80">
        <v>167</v>
      </c>
      <c r="F5" s="255">
        <f t="shared" si="0"/>
        <v>4.0656839235067134E-3</v>
      </c>
      <c r="G5" s="255">
        <f t="shared" si="1"/>
        <v>5.171046911251841E-4</v>
      </c>
      <c r="H5" s="802"/>
      <c r="I5" s="80">
        <v>200</v>
      </c>
      <c r="J5" s="379">
        <f t="shared" si="2"/>
        <v>2.9599701043019468E-4</v>
      </c>
      <c r="K5" s="379">
        <f t="shared" si="3"/>
        <v>2.5787422633781403</v>
      </c>
      <c r="L5" s="802"/>
      <c r="N5" s="690"/>
      <c r="O5" s="261" t="s">
        <v>15</v>
      </c>
      <c r="P5">
        <v>6</v>
      </c>
      <c r="Q5">
        <v>7</v>
      </c>
      <c r="R5">
        <v>11</v>
      </c>
      <c r="S5">
        <v>14541</v>
      </c>
      <c r="T5">
        <v>10</v>
      </c>
      <c r="U5">
        <v>6</v>
      </c>
      <c r="V5">
        <v>7</v>
      </c>
      <c r="W5">
        <v>6</v>
      </c>
      <c r="X5">
        <v>7</v>
      </c>
      <c r="Y5">
        <v>5</v>
      </c>
      <c r="Z5">
        <v>5</v>
      </c>
      <c r="AA5" s="4">
        <v>8</v>
      </c>
      <c r="AC5" s="690"/>
      <c r="AD5" s="80" t="s">
        <v>15</v>
      </c>
      <c r="AE5">
        <v>48</v>
      </c>
      <c r="AF5">
        <v>97</v>
      </c>
      <c r="AG5">
        <v>6541</v>
      </c>
      <c r="AH5">
        <v>4484</v>
      </c>
      <c r="AI5">
        <v>6083</v>
      </c>
      <c r="AJ5">
        <v>42</v>
      </c>
      <c r="AK5">
        <v>4</v>
      </c>
      <c r="AL5">
        <v>3</v>
      </c>
      <c r="AM5">
        <v>4</v>
      </c>
      <c r="AN5">
        <v>3</v>
      </c>
      <c r="AO5">
        <v>3</v>
      </c>
      <c r="AP5" s="4">
        <v>5</v>
      </c>
      <c r="AR5" s="690"/>
      <c r="AS5" s="80" t="s">
        <v>15</v>
      </c>
      <c r="AT5">
        <v>0</v>
      </c>
      <c r="AU5">
        <v>0</v>
      </c>
      <c r="AV5">
        <v>0</v>
      </c>
      <c r="AW5">
        <v>816197</v>
      </c>
      <c r="AX5">
        <v>0</v>
      </c>
      <c r="AY5">
        <v>0</v>
      </c>
      <c r="AZ5">
        <v>2</v>
      </c>
      <c r="BA5">
        <v>5</v>
      </c>
      <c r="BB5">
        <v>6</v>
      </c>
      <c r="BC5">
        <v>4</v>
      </c>
      <c r="BD5">
        <v>6</v>
      </c>
      <c r="BE5" s="4">
        <v>4</v>
      </c>
      <c r="BG5" s="690"/>
      <c r="BH5" t="s">
        <v>15</v>
      </c>
      <c r="BI5">
        <v>2</v>
      </c>
      <c r="BJ5">
        <v>3</v>
      </c>
      <c r="BK5">
        <v>7</v>
      </c>
      <c r="BL5">
        <v>11106</v>
      </c>
      <c r="BM5">
        <v>9</v>
      </c>
      <c r="BN5">
        <v>2</v>
      </c>
      <c r="BO5">
        <v>2</v>
      </c>
      <c r="BP5">
        <v>3</v>
      </c>
      <c r="BQ5">
        <v>3</v>
      </c>
      <c r="BR5">
        <v>3</v>
      </c>
      <c r="BS5">
        <v>2</v>
      </c>
      <c r="BT5" s="4">
        <v>5</v>
      </c>
      <c r="BV5" s="648"/>
      <c r="BW5" s="645"/>
      <c r="BX5" s="93" t="s">
        <v>119</v>
      </c>
      <c r="BY5" s="80">
        <v>68</v>
      </c>
      <c r="BZ5">
        <v>2.2780569514237899E-2</v>
      </c>
      <c r="CA5">
        <v>2.8974065824958098E-3</v>
      </c>
      <c r="CB5" s="785"/>
      <c r="CC5">
        <v>364</v>
      </c>
      <c r="CD5">
        <v>4.15633767274778E-4</v>
      </c>
      <c r="CE5">
        <v>3.6284662270350001</v>
      </c>
      <c r="CF5" s="785"/>
      <c r="CH5" s="773"/>
      <c r="CI5" s="657"/>
      <c r="CJ5" t="s">
        <v>45</v>
      </c>
      <c r="CK5" s="80">
        <v>130.5</v>
      </c>
      <c r="CL5">
        <v>1.74330064922921E-3</v>
      </c>
      <c r="CM5">
        <v>2.0495916218874399E-4</v>
      </c>
      <c r="CN5" s="789"/>
      <c r="CO5" s="80">
        <v>92</v>
      </c>
      <c r="CP5">
        <v>1.92495600847818E-4</v>
      </c>
      <c r="CQ5">
        <v>1.6755506953903601</v>
      </c>
      <c r="CR5" s="789"/>
    </row>
    <row r="6" spans="1:96" x14ac:dyDescent="0.25">
      <c r="B6" s="645"/>
      <c r="C6" s="93" t="s">
        <v>51</v>
      </c>
      <c r="D6" t="s">
        <v>47</v>
      </c>
      <c r="E6" s="80">
        <v>142.5</v>
      </c>
      <c r="F6" s="255">
        <f t="shared" si="0"/>
        <v>3.4692213119742912E-3</v>
      </c>
      <c r="G6" s="255">
        <f t="shared" si="1"/>
        <v>4.4124202685831576E-4</v>
      </c>
      <c r="H6" s="802"/>
      <c r="I6" s="80">
        <v>240.5</v>
      </c>
      <c r="J6" s="379">
        <f t="shared" si="2"/>
        <v>3.5593640504230905E-4</v>
      </c>
      <c r="K6" s="379">
        <f t="shared" si="3"/>
        <v>3.1009375717122132</v>
      </c>
      <c r="L6" s="802"/>
      <c r="N6" s="690"/>
      <c r="O6" s="261" t="s">
        <v>16</v>
      </c>
      <c r="P6">
        <v>11</v>
      </c>
      <c r="Q6">
        <v>5</v>
      </c>
      <c r="R6">
        <v>6</v>
      </c>
      <c r="S6">
        <v>7</v>
      </c>
      <c r="T6">
        <v>8</v>
      </c>
      <c r="U6">
        <v>4</v>
      </c>
      <c r="V6">
        <v>5</v>
      </c>
      <c r="W6">
        <v>6</v>
      </c>
      <c r="X6">
        <v>7</v>
      </c>
      <c r="Y6">
        <v>5</v>
      </c>
      <c r="Z6">
        <v>7</v>
      </c>
      <c r="AA6" s="4">
        <v>7</v>
      </c>
      <c r="AC6" s="690"/>
      <c r="AD6" s="80" t="s">
        <v>16</v>
      </c>
      <c r="AE6">
        <v>4285</v>
      </c>
      <c r="AF6">
        <v>780</v>
      </c>
      <c r="AG6">
        <v>717</v>
      </c>
      <c r="AH6">
        <v>4054</v>
      </c>
      <c r="AI6">
        <v>780</v>
      </c>
      <c r="AJ6">
        <v>20</v>
      </c>
      <c r="AK6">
        <v>3</v>
      </c>
      <c r="AL6">
        <v>3</v>
      </c>
      <c r="AM6">
        <v>5</v>
      </c>
      <c r="AN6">
        <v>3</v>
      </c>
      <c r="AO6">
        <v>3</v>
      </c>
      <c r="AP6" s="4">
        <v>5</v>
      </c>
      <c r="AR6" s="690"/>
      <c r="AS6" s="80" t="s">
        <v>16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</v>
      </c>
      <c r="BA6">
        <v>6</v>
      </c>
      <c r="BB6">
        <v>4</v>
      </c>
      <c r="BC6">
        <v>4</v>
      </c>
      <c r="BD6">
        <v>6</v>
      </c>
      <c r="BE6" s="4">
        <v>5</v>
      </c>
      <c r="BG6" s="690"/>
      <c r="BH6" t="s">
        <v>16</v>
      </c>
      <c r="BI6">
        <v>6</v>
      </c>
      <c r="BJ6">
        <v>2</v>
      </c>
      <c r="BK6">
        <v>5</v>
      </c>
      <c r="BL6">
        <v>5</v>
      </c>
      <c r="BM6">
        <v>2</v>
      </c>
      <c r="BN6">
        <v>1</v>
      </c>
      <c r="BO6">
        <v>2</v>
      </c>
      <c r="BP6">
        <v>4</v>
      </c>
      <c r="BQ6">
        <v>4</v>
      </c>
      <c r="BR6">
        <v>3</v>
      </c>
      <c r="BS6">
        <v>4</v>
      </c>
      <c r="BT6" s="4">
        <v>4</v>
      </c>
      <c r="BV6" s="648"/>
      <c r="BW6" s="645"/>
      <c r="BX6" s="93" t="s">
        <v>120</v>
      </c>
      <c r="BY6" s="80">
        <v>145.5</v>
      </c>
      <c r="BZ6">
        <v>4.8743718592964801E-2</v>
      </c>
      <c r="CA6">
        <v>6.1995979081344204E-3</v>
      </c>
      <c r="CB6" s="785"/>
      <c r="CC6">
        <v>433.5</v>
      </c>
      <c r="CD6">
        <v>4.9499241240004497E-4</v>
      </c>
      <c r="CE6">
        <v>4.3212640368672295</v>
      </c>
      <c r="CF6" s="785"/>
      <c r="CH6" s="773"/>
      <c r="CI6" s="658"/>
      <c r="CJ6" s="162" t="s">
        <v>47</v>
      </c>
      <c r="CK6" s="257">
        <v>184</v>
      </c>
      <c r="CL6" s="162">
        <v>2.4579871222848602E-3</v>
      </c>
      <c r="CM6" s="162">
        <v>2.8898456584466599E-4</v>
      </c>
      <c r="CN6" s="794"/>
      <c r="CO6" s="257">
        <v>208</v>
      </c>
      <c r="CP6" s="162">
        <v>4.35207445395066E-4</v>
      </c>
      <c r="CQ6" s="162">
        <v>3.7882015721869</v>
      </c>
      <c r="CR6" s="794"/>
    </row>
    <row r="7" spans="1:96" ht="15" customHeight="1" x14ac:dyDescent="0.25">
      <c r="B7" s="645"/>
      <c r="C7" s="93" t="s">
        <v>51</v>
      </c>
      <c r="D7" t="s">
        <v>48</v>
      </c>
      <c r="E7" s="80">
        <v>371</v>
      </c>
      <c r="F7" s="255">
        <f t="shared" si="0"/>
        <v>9.0321481174909617E-3</v>
      </c>
      <c r="G7" s="255">
        <f t="shared" si="1"/>
        <v>1.1487774874697203E-3</v>
      </c>
      <c r="H7" s="802"/>
      <c r="I7" s="80">
        <v>403.5</v>
      </c>
      <c r="J7" s="379">
        <f t="shared" si="2"/>
        <v>5.9717396854291774E-4</v>
      </c>
      <c r="K7" s="379">
        <f t="shared" si="3"/>
        <v>5.2026125163653978</v>
      </c>
      <c r="L7" s="802"/>
      <c r="N7" s="690"/>
      <c r="O7" s="261" t="s">
        <v>17</v>
      </c>
      <c r="P7">
        <v>15817</v>
      </c>
      <c r="Q7">
        <v>7</v>
      </c>
      <c r="R7">
        <v>9</v>
      </c>
      <c r="S7">
        <v>6</v>
      </c>
      <c r="T7">
        <v>5</v>
      </c>
      <c r="U7">
        <v>6</v>
      </c>
      <c r="V7">
        <v>5</v>
      </c>
      <c r="W7">
        <v>4</v>
      </c>
      <c r="X7">
        <v>5</v>
      </c>
      <c r="Y7">
        <v>7</v>
      </c>
      <c r="Z7">
        <v>6</v>
      </c>
      <c r="AA7" s="4">
        <v>7</v>
      </c>
      <c r="AC7" s="690"/>
      <c r="AD7" s="80" t="s">
        <v>17</v>
      </c>
      <c r="AE7">
        <v>1272</v>
      </c>
      <c r="AF7">
        <v>5494</v>
      </c>
      <c r="AG7">
        <v>91</v>
      </c>
      <c r="AH7">
        <v>29</v>
      </c>
      <c r="AI7">
        <v>54</v>
      </c>
      <c r="AJ7">
        <v>5</v>
      </c>
      <c r="AK7">
        <v>3</v>
      </c>
      <c r="AL7">
        <v>3</v>
      </c>
      <c r="AM7">
        <v>5</v>
      </c>
      <c r="AN7">
        <v>5</v>
      </c>
      <c r="AO7">
        <v>2</v>
      </c>
      <c r="AP7" s="4">
        <v>2</v>
      </c>
      <c r="AR7" s="690"/>
      <c r="AS7" s="80" t="s">
        <v>17</v>
      </c>
      <c r="AT7">
        <v>821071</v>
      </c>
      <c r="AU7">
        <v>0</v>
      </c>
      <c r="AV7">
        <v>0</v>
      </c>
      <c r="AW7">
        <v>0</v>
      </c>
      <c r="AX7">
        <v>0</v>
      </c>
      <c r="AY7">
        <v>5</v>
      </c>
      <c r="AZ7">
        <v>3</v>
      </c>
      <c r="BA7">
        <v>4</v>
      </c>
      <c r="BB7">
        <v>4</v>
      </c>
      <c r="BC7">
        <v>5</v>
      </c>
      <c r="BD7">
        <v>2</v>
      </c>
      <c r="BE7" s="4">
        <v>5</v>
      </c>
      <c r="BG7" s="690"/>
      <c r="BH7" t="s">
        <v>17</v>
      </c>
      <c r="BI7">
        <v>13787</v>
      </c>
      <c r="BJ7">
        <v>8</v>
      </c>
      <c r="BK7">
        <v>5</v>
      </c>
      <c r="BL7">
        <v>4</v>
      </c>
      <c r="BM7">
        <v>2</v>
      </c>
      <c r="BN7">
        <v>4</v>
      </c>
      <c r="BO7">
        <v>3</v>
      </c>
      <c r="BP7">
        <v>2</v>
      </c>
      <c r="BQ7">
        <v>3</v>
      </c>
      <c r="BR7">
        <v>3</v>
      </c>
      <c r="BS7">
        <v>3</v>
      </c>
      <c r="BT7" s="4">
        <v>1</v>
      </c>
      <c r="BV7" s="648"/>
      <c r="BW7" s="784"/>
      <c r="BX7" s="264" t="s">
        <v>121</v>
      </c>
      <c r="BY7" s="257">
        <v>139.5</v>
      </c>
      <c r="BZ7" s="162">
        <v>4.6733668341708501E-2</v>
      </c>
      <c r="CA7" s="428">
        <v>5.9439443861495E-3</v>
      </c>
      <c r="CB7" s="786"/>
      <c r="CC7" s="162">
        <v>468</v>
      </c>
      <c r="CD7" s="162">
        <v>5.3438627221042898E-4</v>
      </c>
      <c r="CE7" s="428">
        <v>4.6651708633307098</v>
      </c>
      <c r="CF7" s="786"/>
      <c r="CH7" s="773"/>
      <c r="CI7" s="657" t="s">
        <v>144</v>
      </c>
      <c r="CJ7" t="s">
        <v>49</v>
      </c>
      <c r="CK7" s="80">
        <v>113</v>
      </c>
      <c r="CL7">
        <v>1.5095247000988499E-3</v>
      </c>
      <c r="CM7">
        <v>1.7747421706764801E-4</v>
      </c>
      <c r="CN7" s="788">
        <f>AVERAGE(CM7:CM11)</f>
        <v>2.5443206340671658E-4</v>
      </c>
      <c r="CO7" s="80">
        <v>69</v>
      </c>
      <c r="CP7">
        <v>1.4437170063586301E-4</v>
      </c>
      <c r="CQ7">
        <v>1.2566630215427701</v>
      </c>
      <c r="CR7" s="788">
        <f>AVERAGE(CQ7:CQ11)</f>
        <v>3.5496177231693578</v>
      </c>
    </row>
    <row r="8" spans="1:96" ht="16.5" customHeight="1" x14ac:dyDescent="0.25">
      <c r="B8" s="784"/>
      <c r="C8" s="264" t="s">
        <v>51</v>
      </c>
      <c r="D8" s="162" t="s">
        <v>49</v>
      </c>
      <c r="E8" s="257">
        <v>168.5</v>
      </c>
      <c r="F8" s="258">
        <f t="shared" si="0"/>
        <v>4.102202042580127E-3</v>
      </c>
      <c r="G8" s="377">
        <f t="shared" si="1"/>
        <v>5.2174934403948219E-4</v>
      </c>
      <c r="H8" s="803"/>
      <c r="I8" s="257">
        <v>257.5</v>
      </c>
      <c r="J8" s="378">
        <f t="shared" si="2"/>
        <v>3.8109615092887561E-4</v>
      </c>
      <c r="K8" s="381">
        <f t="shared" si="3"/>
        <v>3.3201306640993549</v>
      </c>
      <c r="L8" s="803"/>
      <c r="N8" s="690"/>
      <c r="O8" s="261" t="s">
        <v>18</v>
      </c>
      <c r="P8">
        <v>11</v>
      </c>
      <c r="Q8">
        <v>5</v>
      </c>
      <c r="R8">
        <v>4</v>
      </c>
      <c r="S8">
        <v>8</v>
      </c>
      <c r="T8">
        <v>5</v>
      </c>
      <c r="U8">
        <v>5</v>
      </c>
      <c r="V8">
        <v>3</v>
      </c>
      <c r="W8">
        <v>7</v>
      </c>
      <c r="X8">
        <v>5</v>
      </c>
      <c r="Y8">
        <v>7</v>
      </c>
      <c r="Z8">
        <v>7</v>
      </c>
      <c r="AA8" s="4">
        <v>5</v>
      </c>
      <c r="AC8" s="690"/>
      <c r="AD8" s="80" t="s">
        <v>18</v>
      </c>
      <c r="AE8">
        <v>4596</v>
      </c>
      <c r="AF8">
        <v>929</v>
      </c>
      <c r="AG8">
        <v>926</v>
      </c>
      <c r="AH8">
        <v>6284</v>
      </c>
      <c r="AI8">
        <v>827</v>
      </c>
      <c r="AJ8">
        <v>28</v>
      </c>
      <c r="AK8">
        <v>3</v>
      </c>
      <c r="AL8">
        <v>4</v>
      </c>
      <c r="AM8">
        <v>3</v>
      </c>
      <c r="AN8">
        <v>4</v>
      </c>
      <c r="AO8">
        <v>3</v>
      </c>
      <c r="AP8" s="4">
        <v>3</v>
      </c>
      <c r="AR8" s="690"/>
      <c r="AS8" s="80" t="s">
        <v>18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4</v>
      </c>
      <c r="BA8">
        <v>3</v>
      </c>
      <c r="BB8">
        <v>6</v>
      </c>
      <c r="BC8">
        <v>2</v>
      </c>
      <c r="BD8">
        <v>3</v>
      </c>
      <c r="BE8" s="4">
        <v>5</v>
      </c>
      <c r="BG8" s="690"/>
      <c r="BH8" t="s">
        <v>18</v>
      </c>
      <c r="BI8">
        <v>8</v>
      </c>
      <c r="BJ8">
        <v>3</v>
      </c>
      <c r="BK8">
        <v>3</v>
      </c>
      <c r="BL8">
        <v>7</v>
      </c>
      <c r="BM8">
        <v>4</v>
      </c>
      <c r="BN8">
        <v>4</v>
      </c>
      <c r="BO8">
        <v>3</v>
      </c>
      <c r="BP8">
        <v>3</v>
      </c>
      <c r="BQ8">
        <v>4</v>
      </c>
      <c r="BR8">
        <v>5</v>
      </c>
      <c r="BS8">
        <v>3</v>
      </c>
      <c r="BT8" s="4">
        <v>1</v>
      </c>
      <c r="BV8" s="648"/>
      <c r="BW8" s="645" t="s">
        <v>94</v>
      </c>
      <c r="BX8" s="93" t="s">
        <v>117</v>
      </c>
      <c r="BY8" s="80">
        <v>75</v>
      </c>
      <c r="BZ8">
        <v>2.5125628140703501E-2</v>
      </c>
      <c r="CA8">
        <v>3.1956690248115603E-3</v>
      </c>
      <c r="CB8" s="787">
        <f>AVERAGE(CA8:CA12)</f>
        <v>2.9144501506281418E-3</v>
      </c>
      <c r="CC8">
        <v>390.5</v>
      </c>
      <c r="CD8">
        <v>4.4589281901318901E-4</v>
      </c>
      <c r="CE8">
        <v>3.89262654301419</v>
      </c>
      <c r="CF8" s="787">
        <f>AVERAGE(CE8:CE12)</f>
        <v>3.5028654730222457</v>
      </c>
      <c r="CH8" s="773"/>
      <c r="CI8" s="657"/>
      <c r="CJ8" t="s">
        <v>711</v>
      </c>
      <c r="CK8" s="80">
        <v>193.5</v>
      </c>
      <c r="CL8">
        <v>2.5848940660984799E-3</v>
      </c>
      <c r="CM8">
        <v>3.0390496462468901E-4</v>
      </c>
      <c r="CN8" s="789"/>
      <c r="CO8" s="80">
        <v>275.5</v>
      </c>
      <c r="CP8">
        <v>5.7644063079971498E-4</v>
      </c>
      <c r="CQ8">
        <v>5.0175458323917796</v>
      </c>
      <c r="CR8" s="789"/>
    </row>
    <row r="9" spans="1:96" ht="15.75" customHeight="1" x14ac:dyDescent="0.25">
      <c r="B9" s="805" t="s">
        <v>144</v>
      </c>
      <c r="C9" s="93" t="s">
        <v>113</v>
      </c>
      <c r="D9" t="s">
        <v>46</v>
      </c>
      <c r="E9" s="80">
        <v>130</v>
      </c>
      <c r="F9" s="255">
        <f>E9/$K$28</f>
        <v>1.2034808368820588E-2</v>
      </c>
      <c r="G9" s="255">
        <f t="shared" si="1"/>
        <v>1.5306787200865578E-3</v>
      </c>
      <c r="H9" s="801">
        <f>AVERAGE(G9:G12)</f>
        <v>1.1038548462162677E-3</v>
      </c>
      <c r="I9" s="80">
        <v>167</v>
      </c>
      <c r="J9" s="379">
        <f>I9/$F$28</f>
        <v>1.8287821843762867E-4</v>
      </c>
      <c r="K9" s="379">
        <f t="shared" si="3"/>
        <v>1.5932451150469624</v>
      </c>
      <c r="L9" s="801">
        <f>AVERAGE(K9,K11:K12)</f>
        <v>0.90474697650870428</v>
      </c>
      <c r="N9" s="690"/>
      <c r="O9" s="261" t="s">
        <v>19</v>
      </c>
      <c r="P9">
        <v>3</v>
      </c>
      <c r="Q9">
        <v>7</v>
      </c>
      <c r="R9">
        <v>6</v>
      </c>
      <c r="S9">
        <v>16387</v>
      </c>
      <c r="T9">
        <v>8</v>
      </c>
      <c r="U9">
        <v>6</v>
      </c>
      <c r="V9">
        <v>8</v>
      </c>
      <c r="W9">
        <v>6</v>
      </c>
      <c r="X9">
        <v>4</v>
      </c>
      <c r="Y9">
        <v>5</v>
      </c>
      <c r="Z9">
        <v>4</v>
      </c>
      <c r="AA9" s="4">
        <v>7</v>
      </c>
      <c r="AC9" s="690"/>
      <c r="AD9" s="80" t="s">
        <v>19</v>
      </c>
      <c r="AE9">
        <v>19</v>
      </c>
      <c r="AF9">
        <v>76</v>
      </c>
      <c r="AG9">
        <v>7221</v>
      </c>
      <c r="AH9">
        <v>0</v>
      </c>
      <c r="AI9">
        <v>6447</v>
      </c>
      <c r="AJ9">
        <v>45</v>
      </c>
      <c r="AK9">
        <v>4</v>
      </c>
      <c r="AL9">
        <v>2</v>
      </c>
      <c r="AM9">
        <v>3</v>
      </c>
      <c r="AN9">
        <v>3</v>
      </c>
      <c r="AO9">
        <v>1</v>
      </c>
      <c r="AP9" s="4">
        <v>3</v>
      </c>
      <c r="AR9" s="690"/>
      <c r="AS9" s="80" t="s">
        <v>19</v>
      </c>
      <c r="AT9">
        <v>0</v>
      </c>
      <c r="AU9">
        <v>0</v>
      </c>
      <c r="AV9">
        <v>0</v>
      </c>
      <c r="AW9">
        <v>807464</v>
      </c>
      <c r="AX9">
        <v>0</v>
      </c>
      <c r="AY9">
        <v>0</v>
      </c>
      <c r="AZ9">
        <v>5</v>
      </c>
      <c r="BA9">
        <v>5</v>
      </c>
      <c r="BB9">
        <v>4</v>
      </c>
      <c r="BC9">
        <v>4</v>
      </c>
      <c r="BD9">
        <v>3</v>
      </c>
      <c r="BE9" s="4">
        <v>3</v>
      </c>
      <c r="BG9" s="690"/>
      <c r="BH9" t="s">
        <v>19</v>
      </c>
      <c r="BI9">
        <v>3</v>
      </c>
      <c r="BJ9">
        <v>3</v>
      </c>
      <c r="BK9">
        <v>6</v>
      </c>
      <c r="BL9">
        <v>14125</v>
      </c>
      <c r="BM9">
        <v>7</v>
      </c>
      <c r="BN9">
        <v>3</v>
      </c>
      <c r="BO9">
        <v>2</v>
      </c>
      <c r="BP9">
        <v>3</v>
      </c>
      <c r="BQ9">
        <v>3</v>
      </c>
      <c r="BR9">
        <v>4</v>
      </c>
      <c r="BS9">
        <v>3</v>
      </c>
      <c r="BT9" s="4">
        <v>4</v>
      </c>
      <c r="BV9" s="648"/>
      <c r="BW9" s="645"/>
      <c r="BX9" s="93" t="s">
        <v>118</v>
      </c>
      <c r="BY9" s="80">
        <v>73</v>
      </c>
      <c r="BZ9">
        <v>2.44556113902848E-2</v>
      </c>
      <c r="CA9">
        <v>3.1104511841499199E-3</v>
      </c>
      <c r="CB9" s="785"/>
      <c r="CC9">
        <v>325.5</v>
      </c>
      <c r="CD9">
        <v>3.7167250342840798E-4</v>
      </c>
      <c r="CE9">
        <v>3.2446861453293701</v>
      </c>
      <c r="CF9" s="785"/>
      <c r="CH9" s="773"/>
      <c r="CI9" s="657"/>
      <c r="CJ9" t="s">
        <v>712</v>
      </c>
      <c r="CK9" s="80">
        <v>149</v>
      </c>
      <c r="CL9">
        <v>1.99043522402415E-3</v>
      </c>
      <c r="CM9">
        <v>2.34014675602474E-4</v>
      </c>
      <c r="CN9" s="789"/>
      <c r="CO9" s="80">
        <v>205.5</v>
      </c>
      <c r="CP9">
        <v>4.2997658667637501E-4</v>
      </c>
      <c r="CQ9">
        <v>3.7426703032904198</v>
      </c>
      <c r="CR9" s="789"/>
    </row>
    <row r="10" spans="1:96" ht="15.75" thickBot="1" x14ac:dyDescent="0.3">
      <c r="B10" s="736"/>
      <c r="C10" s="93" t="s">
        <v>113</v>
      </c>
      <c r="D10" t="s">
        <v>44</v>
      </c>
      <c r="E10" s="80">
        <v>130.5</v>
      </c>
      <c r="F10" s="255">
        <f>E10/$K$28</f>
        <v>1.2081096093316052E-2</v>
      </c>
      <c r="G10" s="255">
        <f t="shared" si="1"/>
        <v>1.5365659459330445E-3</v>
      </c>
      <c r="H10" s="802"/>
      <c r="I10" s="80">
        <v>493</v>
      </c>
      <c r="J10" s="379">
        <f>I10/$F$28</f>
        <v>5.3987402209431702E-4</v>
      </c>
      <c r="K10" s="379">
        <f t="shared" si="3"/>
        <v>4.7034122258572006</v>
      </c>
      <c r="L10" s="802"/>
      <c r="N10" s="691"/>
      <c r="O10" s="262" t="s">
        <v>20</v>
      </c>
      <c r="P10" s="6">
        <v>6</v>
      </c>
      <c r="Q10" s="6">
        <v>8</v>
      </c>
      <c r="R10" s="6">
        <v>5</v>
      </c>
      <c r="S10" s="6">
        <v>10</v>
      </c>
      <c r="T10" s="6">
        <v>10</v>
      </c>
      <c r="U10" s="6">
        <v>6</v>
      </c>
      <c r="V10" s="6">
        <v>5</v>
      </c>
      <c r="W10" s="6">
        <v>8</v>
      </c>
      <c r="X10" s="6">
        <v>6</v>
      </c>
      <c r="Y10" s="6">
        <v>6</v>
      </c>
      <c r="Z10" s="6">
        <v>5</v>
      </c>
      <c r="AA10" s="7">
        <v>5</v>
      </c>
      <c r="AC10" s="691"/>
      <c r="AD10" s="81" t="s">
        <v>20</v>
      </c>
      <c r="AE10" s="6">
        <v>6</v>
      </c>
      <c r="AF10" s="6">
        <v>28</v>
      </c>
      <c r="AG10" s="6">
        <v>784</v>
      </c>
      <c r="AH10" s="6">
        <v>4849</v>
      </c>
      <c r="AI10" s="6">
        <v>878</v>
      </c>
      <c r="AJ10" s="6">
        <v>31</v>
      </c>
      <c r="AK10" s="6">
        <v>4</v>
      </c>
      <c r="AL10" s="6">
        <v>4</v>
      </c>
      <c r="AM10" s="6">
        <v>4</v>
      </c>
      <c r="AN10" s="6">
        <v>6</v>
      </c>
      <c r="AO10" s="6">
        <v>4</v>
      </c>
      <c r="AP10" s="7">
        <v>3</v>
      </c>
      <c r="AR10" s="691"/>
      <c r="AS10" s="81" t="s">
        <v>20</v>
      </c>
      <c r="AT10" s="6">
        <v>2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4</v>
      </c>
      <c r="BA10" s="6">
        <v>3</v>
      </c>
      <c r="BB10" s="6">
        <v>8</v>
      </c>
      <c r="BC10" s="6">
        <v>4</v>
      </c>
      <c r="BD10" s="6">
        <v>6</v>
      </c>
      <c r="BE10" s="7">
        <v>4</v>
      </c>
      <c r="BG10" s="691"/>
      <c r="BH10" s="6" t="s">
        <v>20</v>
      </c>
      <c r="BI10" s="6">
        <v>4</v>
      </c>
      <c r="BJ10" s="6">
        <v>4</v>
      </c>
      <c r="BK10" s="6">
        <v>3</v>
      </c>
      <c r="BL10" s="6">
        <v>6</v>
      </c>
      <c r="BM10" s="6">
        <v>3</v>
      </c>
      <c r="BN10" s="6">
        <v>3</v>
      </c>
      <c r="BO10" s="6">
        <v>3</v>
      </c>
      <c r="BP10" s="6">
        <v>5</v>
      </c>
      <c r="BQ10" s="6">
        <v>3</v>
      </c>
      <c r="BR10" s="6">
        <v>3</v>
      </c>
      <c r="BS10" s="6">
        <v>4</v>
      </c>
      <c r="BT10" s="7">
        <v>4</v>
      </c>
      <c r="BV10" s="648"/>
      <c r="BW10" s="645"/>
      <c r="BX10" s="93" t="s">
        <v>119</v>
      </c>
      <c r="BY10" s="80">
        <v>64</v>
      </c>
      <c r="BZ10">
        <v>2.1440536013400301E-2</v>
      </c>
      <c r="CA10">
        <v>2.7269709011725303E-3</v>
      </c>
      <c r="CB10" s="785"/>
      <c r="CC10">
        <v>291.5</v>
      </c>
      <c r="CD10">
        <v>3.3284956912252197E-4</v>
      </c>
      <c r="CE10">
        <v>2.9057634757711597</v>
      </c>
      <c r="CF10" s="785"/>
      <c r="CH10" s="773"/>
      <c r="CI10" s="657"/>
      <c r="CJ10" t="s">
        <v>713</v>
      </c>
      <c r="CK10" s="80">
        <v>184</v>
      </c>
      <c r="CL10">
        <v>2.4579871222848602E-3</v>
      </c>
      <c r="CM10">
        <v>2.8898456584466599E-4</v>
      </c>
      <c r="CN10" s="789"/>
      <c r="CO10" s="80">
        <v>211</v>
      </c>
      <c r="CP10">
        <v>4.4148447585749503E-4</v>
      </c>
      <c r="CQ10">
        <v>3.8428390948626698</v>
      </c>
      <c r="CR10" s="789"/>
    </row>
    <row r="11" spans="1:96" x14ac:dyDescent="0.25">
      <c r="B11" s="736"/>
      <c r="C11" s="93" t="s">
        <v>113</v>
      </c>
      <c r="D11" t="s">
        <v>45</v>
      </c>
      <c r="E11" s="80">
        <v>25.5</v>
      </c>
      <c r="F11" s="255">
        <f>E11/$K$28</f>
        <v>2.3606739492686539E-3</v>
      </c>
      <c r="G11" s="255">
        <f t="shared" si="1"/>
        <v>3.002485181708248E-4</v>
      </c>
      <c r="H11" s="802"/>
      <c r="I11" s="80">
        <v>11.5</v>
      </c>
      <c r="J11" s="379">
        <f>I11/$F$28</f>
        <v>1.2593410251692992E-5</v>
      </c>
      <c r="K11" s="379">
        <f t="shared" si="3"/>
        <v>0.10971448397029981</v>
      </c>
      <c r="L11" s="802"/>
      <c r="N11" s="689" t="s">
        <v>165</v>
      </c>
      <c r="O11" s="263" t="s">
        <v>164</v>
      </c>
      <c r="P11" s="210">
        <v>1</v>
      </c>
      <c r="Q11" s="210">
        <v>2</v>
      </c>
      <c r="R11" s="210">
        <v>3</v>
      </c>
      <c r="S11" s="210">
        <v>4</v>
      </c>
      <c r="T11" s="210">
        <v>5</v>
      </c>
      <c r="U11" s="210">
        <v>6</v>
      </c>
      <c r="V11" s="210">
        <v>7</v>
      </c>
      <c r="W11" s="210">
        <v>8</v>
      </c>
      <c r="X11" s="210">
        <v>9</v>
      </c>
      <c r="Y11" s="210">
        <v>10</v>
      </c>
      <c r="Z11" s="210">
        <v>11</v>
      </c>
      <c r="AA11" s="211">
        <v>12</v>
      </c>
      <c r="AC11" s="689" t="s">
        <v>165</v>
      </c>
      <c r="AD11" s="375" t="s">
        <v>164</v>
      </c>
      <c r="AE11" s="8">
        <v>1</v>
      </c>
      <c r="AF11" s="8">
        <v>2</v>
      </c>
      <c r="AG11" s="8">
        <v>3</v>
      </c>
      <c r="AH11" s="8">
        <v>4</v>
      </c>
      <c r="AI11" s="8">
        <v>5</v>
      </c>
      <c r="AJ11" s="8">
        <v>6</v>
      </c>
      <c r="AK11" s="8">
        <v>7</v>
      </c>
      <c r="AL11" s="8">
        <v>8</v>
      </c>
      <c r="AM11" s="8">
        <v>9</v>
      </c>
      <c r="AN11" s="8">
        <v>10</v>
      </c>
      <c r="AO11" s="8">
        <v>11</v>
      </c>
      <c r="AP11" s="9">
        <v>12</v>
      </c>
      <c r="AR11" s="689" t="s">
        <v>165</v>
      </c>
      <c r="AS11" s="375" t="s">
        <v>164</v>
      </c>
      <c r="AT11" s="8">
        <v>1</v>
      </c>
      <c r="AU11" s="8">
        <v>2</v>
      </c>
      <c r="AV11" s="8">
        <v>3</v>
      </c>
      <c r="AW11" s="8">
        <v>4</v>
      </c>
      <c r="AX11" s="8">
        <v>5</v>
      </c>
      <c r="AY11" s="8">
        <v>6</v>
      </c>
      <c r="AZ11" s="8">
        <v>7</v>
      </c>
      <c r="BA11" s="8">
        <v>8</v>
      </c>
      <c r="BB11" s="8">
        <v>9</v>
      </c>
      <c r="BC11" s="8">
        <v>10</v>
      </c>
      <c r="BD11" s="8">
        <v>11</v>
      </c>
      <c r="BE11" s="9">
        <v>12</v>
      </c>
      <c r="BG11" s="689" t="s">
        <v>165</v>
      </c>
      <c r="BH11" s="8" t="s">
        <v>164</v>
      </c>
      <c r="BI11" s="8">
        <v>1</v>
      </c>
      <c r="BJ11" s="8">
        <v>2</v>
      </c>
      <c r="BK11" s="8">
        <v>3</v>
      </c>
      <c r="BL11" s="8">
        <v>4</v>
      </c>
      <c r="BM11" s="8">
        <v>5</v>
      </c>
      <c r="BN11" s="8">
        <v>6</v>
      </c>
      <c r="BO11" s="8">
        <v>7</v>
      </c>
      <c r="BP11" s="8">
        <v>8</v>
      </c>
      <c r="BQ11" s="8">
        <v>9</v>
      </c>
      <c r="BR11" s="8">
        <v>10</v>
      </c>
      <c r="BS11" s="8">
        <v>11</v>
      </c>
      <c r="BT11" s="9">
        <v>12</v>
      </c>
      <c r="BV11" s="648"/>
      <c r="BW11" s="645"/>
      <c r="BX11" s="93" t="s">
        <v>120</v>
      </c>
      <c r="BY11" s="80">
        <v>46.5</v>
      </c>
      <c r="BZ11">
        <v>1.55778894472362E-2</v>
      </c>
      <c r="CA11">
        <v>1.98131479538317E-3</v>
      </c>
      <c r="CB11" s="785"/>
      <c r="CC11">
        <v>310</v>
      </c>
      <c r="CD11">
        <v>3.5397381278895999E-4</v>
      </c>
      <c r="CE11">
        <v>3.0901772812660697</v>
      </c>
      <c r="CF11" s="785"/>
      <c r="CH11" s="774"/>
      <c r="CI11" s="658"/>
      <c r="CJ11" s="162" t="s">
        <v>714</v>
      </c>
      <c r="CK11" s="257">
        <v>170.5</v>
      </c>
      <c r="CL11" s="162">
        <v>2.2776456758128701E-3</v>
      </c>
      <c r="CM11" s="162">
        <v>2.6778189389410601E-4</v>
      </c>
      <c r="CN11" s="794"/>
      <c r="CO11" s="257">
        <v>213.5</v>
      </c>
      <c r="CP11" s="162">
        <v>4.4671533457618499E-4</v>
      </c>
      <c r="CQ11" s="162">
        <v>3.88837036375915</v>
      </c>
      <c r="CR11" s="794"/>
    </row>
    <row r="12" spans="1:96" x14ac:dyDescent="0.25">
      <c r="B12" s="795"/>
      <c r="C12" s="264" t="s">
        <v>113</v>
      </c>
      <c r="D12" s="162" t="s">
        <v>47</v>
      </c>
      <c r="E12" s="257">
        <v>89</v>
      </c>
      <c r="F12" s="258">
        <f>E12/$K$28</f>
        <v>8.2392149601925573E-3</v>
      </c>
      <c r="G12" s="377">
        <f t="shared" si="1"/>
        <v>1.0479262006746436E-3</v>
      </c>
      <c r="H12" s="803"/>
      <c r="I12" s="257">
        <v>106</v>
      </c>
      <c r="J12" s="378">
        <f>I12/$F$28</f>
        <v>1.1607839014603975E-4</v>
      </c>
      <c r="K12" s="381">
        <f t="shared" si="3"/>
        <v>1.0112813305088504</v>
      </c>
      <c r="L12" s="803"/>
      <c r="N12" s="690"/>
      <c r="O12" s="260" t="s">
        <v>13</v>
      </c>
      <c r="P12">
        <v>20</v>
      </c>
      <c r="Q12">
        <v>22</v>
      </c>
      <c r="R12">
        <v>39</v>
      </c>
      <c r="S12">
        <v>24</v>
      </c>
      <c r="T12">
        <v>25</v>
      </c>
      <c r="U12">
        <v>28</v>
      </c>
      <c r="V12">
        <v>43</v>
      </c>
      <c r="W12">
        <v>45</v>
      </c>
      <c r="X12">
        <v>71</v>
      </c>
      <c r="Y12">
        <v>6</v>
      </c>
      <c r="Z12">
        <v>7</v>
      </c>
      <c r="AA12" s="4">
        <v>5</v>
      </c>
      <c r="AC12" s="690"/>
      <c r="AD12" s="80" t="s">
        <v>13</v>
      </c>
      <c r="AE12">
        <v>9</v>
      </c>
      <c r="AF12">
        <v>3</v>
      </c>
      <c r="AG12">
        <v>6</v>
      </c>
      <c r="AH12">
        <v>0</v>
      </c>
      <c r="AI12">
        <v>9</v>
      </c>
      <c r="AJ12">
        <v>120</v>
      </c>
      <c r="AK12">
        <v>102</v>
      </c>
      <c r="AL12">
        <v>389</v>
      </c>
      <c r="AM12">
        <v>58</v>
      </c>
      <c r="AN12">
        <v>47</v>
      </c>
      <c r="AO12">
        <v>79</v>
      </c>
      <c r="AP12" s="4">
        <v>467</v>
      </c>
      <c r="AR12" s="690"/>
      <c r="AS12" s="80" t="s">
        <v>13</v>
      </c>
      <c r="AT12">
        <v>11</v>
      </c>
      <c r="AU12">
        <v>9</v>
      </c>
      <c r="AV12">
        <v>9</v>
      </c>
      <c r="AW12">
        <v>10</v>
      </c>
      <c r="AX12">
        <v>7</v>
      </c>
      <c r="AY12">
        <v>198</v>
      </c>
      <c r="AZ12">
        <v>108</v>
      </c>
      <c r="BA12">
        <v>255</v>
      </c>
      <c r="BB12">
        <v>22</v>
      </c>
      <c r="BC12">
        <v>16</v>
      </c>
      <c r="BD12">
        <v>28</v>
      </c>
      <c r="BE12" s="4">
        <v>372</v>
      </c>
      <c r="BG12" s="690"/>
      <c r="BH12" t="s">
        <v>13</v>
      </c>
      <c r="BI12">
        <v>217</v>
      </c>
      <c r="BJ12">
        <v>153</v>
      </c>
      <c r="BK12">
        <v>275</v>
      </c>
      <c r="BL12">
        <v>629</v>
      </c>
      <c r="BM12">
        <v>250</v>
      </c>
      <c r="BN12">
        <v>527</v>
      </c>
      <c r="BO12">
        <v>328</v>
      </c>
      <c r="BP12">
        <v>330</v>
      </c>
      <c r="BQ12">
        <v>516</v>
      </c>
      <c r="BR12">
        <v>648</v>
      </c>
      <c r="BS12">
        <v>115</v>
      </c>
      <c r="BT12" s="4">
        <v>256</v>
      </c>
      <c r="BV12" s="648"/>
      <c r="BW12" s="784"/>
      <c r="BX12" s="264" t="s">
        <v>121</v>
      </c>
      <c r="BY12" s="257">
        <v>83.5</v>
      </c>
      <c r="BZ12" s="162">
        <v>2.7973199329983201E-2</v>
      </c>
      <c r="CA12" s="428">
        <v>3.5578448476235301E-3</v>
      </c>
      <c r="CB12" s="786"/>
      <c r="CC12" s="162">
        <v>439.5</v>
      </c>
      <c r="CD12" s="162">
        <v>5.0184351845402502E-4</v>
      </c>
      <c r="CE12" s="428">
        <v>4.38107391973044</v>
      </c>
      <c r="CF12" s="786"/>
      <c r="CH12" s="773" t="s">
        <v>715</v>
      </c>
      <c r="CI12" s="696" t="s">
        <v>143</v>
      </c>
      <c r="CJ12" t="s">
        <v>46</v>
      </c>
      <c r="CK12" s="80">
        <v>380</v>
      </c>
      <c r="CL12">
        <v>3.9508226548488597E-3</v>
      </c>
      <c r="CM12">
        <v>4.64496644140046E-4</v>
      </c>
      <c r="CN12" s="788">
        <f>AVERAGE(CM12:CM19)</f>
        <v>4.6839291533266837E-4</v>
      </c>
      <c r="CO12" s="80">
        <v>270</v>
      </c>
      <c r="CP12">
        <v>5.4337927571567596E-4</v>
      </c>
      <c r="CQ12">
        <v>4.7297679493771803</v>
      </c>
      <c r="CR12" s="788">
        <f>AVERAGE(CQ12:CQ19)</f>
        <v>5.758930419843507</v>
      </c>
    </row>
    <row r="13" spans="1:96" x14ac:dyDescent="0.25">
      <c r="B13" s="783" t="s">
        <v>96</v>
      </c>
      <c r="C13" s="93" t="s">
        <v>127</v>
      </c>
      <c r="D13" t="s">
        <v>117</v>
      </c>
      <c r="E13" s="80">
        <v>62.5</v>
      </c>
      <c r="F13" s="255">
        <f>E13/$K$29</f>
        <v>3.3168816005943852E-3</v>
      </c>
      <c r="G13" s="255">
        <f t="shared" si="1"/>
        <v>4.2186630044147689E-4</v>
      </c>
      <c r="H13" s="801">
        <f>AVERAGE(G13:G17)</f>
        <v>6.5608647044658485E-4</v>
      </c>
      <c r="I13" s="80">
        <v>85.5</v>
      </c>
      <c r="J13" s="379">
        <f>I13/$F$29</f>
        <v>1.0850611822217484E-4</v>
      </c>
      <c r="K13" s="379">
        <f t="shared" si="3"/>
        <v>0.94531128029961964</v>
      </c>
      <c r="L13" s="801">
        <f>AVERAGE(K13:K17)</f>
        <v>1.1631198442984796</v>
      </c>
      <c r="N13" s="690"/>
      <c r="O13" s="261" t="s">
        <v>14</v>
      </c>
      <c r="P13">
        <v>8</v>
      </c>
      <c r="Q13">
        <v>7</v>
      </c>
      <c r="R13">
        <v>9</v>
      </c>
      <c r="S13">
        <v>10</v>
      </c>
      <c r="T13">
        <v>10</v>
      </c>
      <c r="U13">
        <v>7</v>
      </c>
      <c r="V13">
        <v>7</v>
      </c>
      <c r="W13">
        <v>7</v>
      </c>
      <c r="X13">
        <v>5</v>
      </c>
      <c r="Y13">
        <v>7</v>
      </c>
      <c r="Z13">
        <v>6</v>
      </c>
      <c r="AA13" s="4">
        <v>6</v>
      </c>
      <c r="AC13" s="690"/>
      <c r="AD13" s="80" t="s">
        <v>14</v>
      </c>
      <c r="AE13">
        <v>5</v>
      </c>
      <c r="AF13">
        <v>5</v>
      </c>
      <c r="AG13">
        <v>3</v>
      </c>
      <c r="AH13">
        <v>4</v>
      </c>
      <c r="AI13">
        <v>6</v>
      </c>
      <c r="AJ13">
        <v>7</v>
      </c>
      <c r="AK13">
        <v>6</v>
      </c>
      <c r="AL13">
        <v>8</v>
      </c>
      <c r="AM13">
        <v>5</v>
      </c>
      <c r="AN13">
        <v>6</v>
      </c>
      <c r="AO13">
        <v>5</v>
      </c>
      <c r="AP13" s="4">
        <v>9</v>
      </c>
      <c r="AR13" s="690"/>
      <c r="AS13" s="80" t="s">
        <v>14</v>
      </c>
      <c r="AT13">
        <v>4</v>
      </c>
      <c r="AU13">
        <v>2</v>
      </c>
      <c r="AV13">
        <v>6</v>
      </c>
      <c r="AW13">
        <v>7</v>
      </c>
      <c r="AX13">
        <v>2</v>
      </c>
      <c r="AY13">
        <v>1</v>
      </c>
      <c r="AZ13">
        <v>5</v>
      </c>
      <c r="BA13">
        <v>4</v>
      </c>
      <c r="BB13">
        <v>4</v>
      </c>
      <c r="BC13">
        <v>2</v>
      </c>
      <c r="BD13">
        <v>3</v>
      </c>
      <c r="BE13" s="4">
        <v>4</v>
      </c>
      <c r="BG13" s="690"/>
      <c r="BH13" t="s">
        <v>14</v>
      </c>
      <c r="BI13">
        <v>315</v>
      </c>
      <c r="BJ13">
        <v>169</v>
      </c>
      <c r="BK13">
        <v>89</v>
      </c>
      <c r="BL13">
        <v>231</v>
      </c>
      <c r="BM13">
        <v>176</v>
      </c>
      <c r="BN13">
        <v>150</v>
      </c>
      <c r="BO13">
        <v>170</v>
      </c>
      <c r="BP13">
        <v>4</v>
      </c>
      <c r="BQ13">
        <v>4</v>
      </c>
      <c r="BR13">
        <v>8</v>
      </c>
      <c r="BS13">
        <v>5</v>
      </c>
      <c r="BT13" s="4">
        <v>7</v>
      </c>
      <c r="BV13" s="648"/>
      <c r="BW13" s="426" t="s">
        <v>149</v>
      </c>
      <c r="BX13" s="264" t="s">
        <v>117</v>
      </c>
      <c r="BY13" s="257">
        <v>48.5</v>
      </c>
      <c r="BZ13" s="162">
        <v>1.6247906197654899E-2</v>
      </c>
      <c r="CA13" s="428">
        <v>2.06653263604481E-3</v>
      </c>
      <c r="CB13" s="427">
        <f>CA13</f>
        <v>2.06653263604481E-3</v>
      </c>
      <c r="CC13" s="162">
        <v>17</v>
      </c>
      <c r="CD13" s="258">
        <v>1.9411467152943002E-5</v>
      </c>
      <c r="CE13" s="428">
        <v>0.16946133477910702</v>
      </c>
      <c r="CF13" s="427">
        <f>CE13</f>
        <v>0.16946133477910702</v>
      </c>
      <c r="CH13" s="773"/>
      <c r="CI13" s="696"/>
      <c r="CJ13" t="s">
        <v>44</v>
      </c>
      <c r="CK13" s="80">
        <v>390</v>
      </c>
      <c r="CL13">
        <v>4.0547916720817196E-3</v>
      </c>
      <c r="CM13">
        <v>4.76720240038469E-4</v>
      </c>
      <c r="CN13" s="789"/>
      <c r="CO13" s="80">
        <v>371.5</v>
      </c>
      <c r="CP13">
        <v>7.4764963306804999E-4</v>
      </c>
      <c r="CQ13">
        <v>6.5078103451615599</v>
      </c>
      <c r="CR13" s="789"/>
    </row>
    <row r="14" spans="1:96" x14ac:dyDescent="0.25">
      <c r="B14" s="645"/>
      <c r="C14" s="93" t="s">
        <v>127</v>
      </c>
      <c r="D14" t="s">
        <v>118</v>
      </c>
      <c r="E14" s="80">
        <v>114</v>
      </c>
      <c r="F14" s="255">
        <f>E14/$K$29</f>
        <v>6.0499920394841587E-3</v>
      </c>
      <c r="G14" s="255">
        <f t="shared" si="1"/>
        <v>7.6948413200525392E-4</v>
      </c>
      <c r="H14" s="802"/>
      <c r="I14" s="80">
        <v>134</v>
      </c>
      <c r="J14" s="379">
        <f>I14/$F$29</f>
        <v>1.7005637241837928E-4</v>
      </c>
      <c r="K14" s="379">
        <f t="shared" si="3"/>
        <v>1.4815404860836145</v>
      </c>
      <c r="L14" s="802"/>
      <c r="N14" s="690"/>
      <c r="O14" s="261" t="s">
        <v>15</v>
      </c>
      <c r="P14">
        <v>9</v>
      </c>
      <c r="Q14">
        <v>6</v>
      </c>
      <c r="R14">
        <v>5</v>
      </c>
      <c r="S14">
        <v>8</v>
      </c>
      <c r="T14">
        <v>6</v>
      </c>
      <c r="U14">
        <v>6</v>
      </c>
      <c r="V14">
        <v>6</v>
      </c>
      <c r="W14">
        <v>8</v>
      </c>
      <c r="X14">
        <v>4</v>
      </c>
      <c r="Y14">
        <v>6</v>
      </c>
      <c r="Z14">
        <v>6</v>
      </c>
      <c r="AA14" s="4">
        <v>6</v>
      </c>
      <c r="AC14" s="690"/>
      <c r="AD14" s="80" t="s">
        <v>15</v>
      </c>
      <c r="AE14">
        <v>3</v>
      </c>
      <c r="AF14">
        <v>3</v>
      </c>
      <c r="AG14">
        <v>4</v>
      </c>
      <c r="AH14">
        <v>6</v>
      </c>
      <c r="AI14">
        <v>5</v>
      </c>
      <c r="AJ14">
        <v>4</v>
      </c>
      <c r="AK14">
        <v>5</v>
      </c>
      <c r="AL14">
        <v>4</v>
      </c>
      <c r="AM14">
        <v>2</v>
      </c>
      <c r="AN14">
        <v>6</v>
      </c>
      <c r="AO14">
        <v>5</v>
      </c>
      <c r="AP14" s="4">
        <v>2</v>
      </c>
      <c r="AR14" s="690"/>
      <c r="AS14" s="80" t="s">
        <v>15</v>
      </c>
      <c r="AT14">
        <v>5</v>
      </c>
      <c r="AU14">
        <v>6</v>
      </c>
      <c r="AV14">
        <v>4</v>
      </c>
      <c r="AW14">
        <v>5</v>
      </c>
      <c r="AX14">
        <v>3</v>
      </c>
      <c r="AY14">
        <v>4</v>
      </c>
      <c r="AZ14">
        <v>3</v>
      </c>
      <c r="BA14">
        <v>5</v>
      </c>
      <c r="BB14">
        <v>5</v>
      </c>
      <c r="BC14">
        <v>6</v>
      </c>
      <c r="BD14">
        <v>4</v>
      </c>
      <c r="BE14" s="4">
        <v>6</v>
      </c>
      <c r="BG14" s="690"/>
      <c r="BH14" t="s">
        <v>15</v>
      </c>
      <c r="BI14" t="s">
        <v>164</v>
      </c>
      <c r="BJ14" t="s">
        <v>164</v>
      </c>
      <c r="BK14" t="s">
        <v>164</v>
      </c>
      <c r="BL14" t="s">
        <v>164</v>
      </c>
      <c r="BM14" t="s">
        <v>164</v>
      </c>
      <c r="BN14" t="s">
        <v>164</v>
      </c>
      <c r="BO14" t="s">
        <v>164</v>
      </c>
      <c r="BP14" t="s">
        <v>164</v>
      </c>
      <c r="BQ14" t="s">
        <v>164</v>
      </c>
      <c r="BR14" t="s">
        <v>164</v>
      </c>
      <c r="BS14" t="s">
        <v>164</v>
      </c>
      <c r="BT14" s="4" t="s">
        <v>164</v>
      </c>
      <c r="BV14" s="648"/>
      <c r="BW14" s="645" t="s">
        <v>144</v>
      </c>
      <c r="BX14" s="93" t="s">
        <v>117</v>
      </c>
      <c r="BY14" s="80">
        <v>70.5</v>
      </c>
      <c r="BZ14">
        <v>2.3618090452261299E-2</v>
      </c>
      <c r="CA14">
        <v>3.0039288833228601E-3</v>
      </c>
      <c r="CB14" s="788">
        <f>AVERAGE(CA14:CA16)</f>
        <v>2.5778396800146537E-3</v>
      </c>
      <c r="CC14">
        <v>21</v>
      </c>
      <c r="CD14" s="255">
        <v>2.3978871188929499E-5</v>
      </c>
      <c r="CE14">
        <v>0.20933459002124999</v>
      </c>
      <c r="CF14" s="788">
        <f>AVERAGE(CE14:CE16)</f>
        <v>0.19105934803526767</v>
      </c>
      <c r="CH14" s="773"/>
      <c r="CI14" s="696"/>
      <c r="CJ14" t="s">
        <v>45</v>
      </c>
      <c r="CK14" s="80">
        <v>323.5</v>
      </c>
      <c r="CL14">
        <v>3.3633977074831699E-3</v>
      </c>
      <c r="CM14">
        <v>3.9543332731396E-4</v>
      </c>
      <c r="CN14" s="789"/>
      <c r="CO14" s="80">
        <v>323.5</v>
      </c>
      <c r="CP14">
        <v>6.5104887294081901E-4</v>
      </c>
      <c r="CQ14">
        <v>5.6669627097167297</v>
      </c>
      <c r="CR14" s="789"/>
    </row>
    <row r="15" spans="1:96" x14ac:dyDescent="0.25">
      <c r="B15" s="645"/>
      <c r="C15" s="93" t="s">
        <v>127</v>
      </c>
      <c r="D15" t="s">
        <v>119</v>
      </c>
      <c r="E15" s="80">
        <v>76.5</v>
      </c>
      <c r="F15" s="255">
        <f>E15/$K$29</f>
        <v>4.0598630791275278E-3</v>
      </c>
      <c r="G15" s="255">
        <f t="shared" si="1"/>
        <v>5.1636435174036779E-4</v>
      </c>
      <c r="H15" s="802"/>
      <c r="I15" s="80">
        <v>85.5</v>
      </c>
      <c r="J15" s="379">
        <f>I15/$F$29</f>
        <v>1.0850611822217484E-4</v>
      </c>
      <c r="K15" s="379">
        <f t="shared" si="3"/>
        <v>0.94531128029961964</v>
      </c>
      <c r="L15" s="802"/>
      <c r="N15" s="690"/>
      <c r="O15" s="261" t="s">
        <v>16</v>
      </c>
      <c r="P15">
        <v>8</v>
      </c>
      <c r="Q15">
        <v>7</v>
      </c>
      <c r="R15">
        <v>8</v>
      </c>
      <c r="S15">
        <v>8</v>
      </c>
      <c r="T15">
        <v>8</v>
      </c>
      <c r="U15">
        <v>7</v>
      </c>
      <c r="V15">
        <v>6</v>
      </c>
      <c r="W15">
        <v>7</v>
      </c>
      <c r="X15">
        <v>7</v>
      </c>
      <c r="Y15">
        <v>8</v>
      </c>
      <c r="Z15">
        <v>7</v>
      </c>
      <c r="AA15" s="4">
        <v>6</v>
      </c>
      <c r="AC15" s="690"/>
      <c r="AD15" s="80" t="s">
        <v>16</v>
      </c>
      <c r="AE15">
        <v>2</v>
      </c>
      <c r="AF15">
        <v>5</v>
      </c>
      <c r="AG15">
        <v>4</v>
      </c>
      <c r="AH15">
        <v>4</v>
      </c>
      <c r="AI15">
        <v>3</v>
      </c>
      <c r="AJ15">
        <v>5</v>
      </c>
      <c r="AK15">
        <v>9</v>
      </c>
      <c r="AL15">
        <v>10</v>
      </c>
      <c r="AM15">
        <v>5</v>
      </c>
      <c r="AN15">
        <v>2</v>
      </c>
      <c r="AO15">
        <v>4</v>
      </c>
      <c r="AP15" s="4">
        <v>6</v>
      </c>
      <c r="AR15" s="690"/>
      <c r="AS15" s="80" t="s">
        <v>16</v>
      </c>
      <c r="AT15">
        <v>5</v>
      </c>
      <c r="AU15">
        <v>6</v>
      </c>
      <c r="AV15">
        <v>5</v>
      </c>
      <c r="AW15">
        <v>6</v>
      </c>
      <c r="AX15">
        <v>4</v>
      </c>
      <c r="AY15">
        <v>4</v>
      </c>
      <c r="AZ15">
        <v>0</v>
      </c>
      <c r="BA15">
        <v>4</v>
      </c>
      <c r="BB15">
        <v>3</v>
      </c>
      <c r="BC15">
        <v>5</v>
      </c>
      <c r="BD15">
        <v>2</v>
      </c>
      <c r="BE15" s="4">
        <v>4</v>
      </c>
      <c r="BG15" s="690"/>
      <c r="BH15" t="s">
        <v>16</v>
      </c>
      <c r="BI15" t="s">
        <v>164</v>
      </c>
      <c r="BJ15" t="s">
        <v>164</v>
      </c>
      <c r="BK15" t="s">
        <v>164</v>
      </c>
      <c r="BL15" t="s">
        <v>164</v>
      </c>
      <c r="BM15" t="s">
        <v>164</v>
      </c>
      <c r="BN15" t="s">
        <v>164</v>
      </c>
      <c r="BO15" t="s">
        <v>164</v>
      </c>
      <c r="BP15" t="s">
        <v>164</v>
      </c>
      <c r="BQ15" t="s">
        <v>164</v>
      </c>
      <c r="BR15" t="s">
        <v>164</v>
      </c>
      <c r="BS15" t="s">
        <v>164</v>
      </c>
      <c r="BT15" s="4" t="s">
        <v>164</v>
      </c>
      <c r="BV15" s="648"/>
      <c r="BW15" s="645"/>
      <c r="BX15" s="93" t="s">
        <v>118</v>
      </c>
      <c r="BY15" s="80">
        <v>70</v>
      </c>
      <c r="BZ15">
        <v>2.3450586264656601E-2</v>
      </c>
      <c r="CA15">
        <v>2.9826244231574502E-3</v>
      </c>
      <c r="CB15" s="789"/>
      <c r="CC15">
        <v>23</v>
      </c>
      <c r="CD15" s="255">
        <v>2.6262573206922801E-5</v>
      </c>
      <c r="CE15">
        <v>0.229271217642321</v>
      </c>
      <c r="CF15" s="789"/>
      <c r="CH15" s="773"/>
      <c r="CI15" s="696"/>
      <c r="CJ15" t="s">
        <v>47</v>
      </c>
      <c r="CK15" s="80">
        <v>426</v>
      </c>
      <c r="CL15">
        <v>4.4290801341200304E-3</v>
      </c>
      <c r="CM15">
        <v>5.2072518527278896E-4</v>
      </c>
      <c r="CN15" s="789"/>
      <c r="CO15" s="80">
        <v>366.5</v>
      </c>
      <c r="CP15">
        <v>7.3758705388813001E-4</v>
      </c>
      <c r="CQ15">
        <v>6.42022204980272</v>
      </c>
      <c r="CR15" s="789"/>
    </row>
    <row r="16" spans="1:96" ht="15.75" thickBot="1" x14ac:dyDescent="0.3">
      <c r="B16" s="645"/>
      <c r="C16" s="93" t="s">
        <v>127</v>
      </c>
      <c r="D16" t="s">
        <v>120</v>
      </c>
      <c r="E16" s="80">
        <v>125</v>
      </c>
      <c r="F16" s="255">
        <f>E16/$K$29</f>
        <v>6.6337632011887705E-3</v>
      </c>
      <c r="G16" s="255">
        <f t="shared" si="1"/>
        <v>8.4373260088295378E-4</v>
      </c>
      <c r="H16" s="802"/>
      <c r="I16" s="80">
        <v>122</v>
      </c>
      <c r="J16" s="379">
        <f>I16/$F$29</f>
        <v>1.5482744354509159E-4</v>
      </c>
      <c r="K16" s="379">
        <f t="shared" si="3"/>
        <v>1.3488652186731416</v>
      </c>
      <c r="L16" s="802"/>
      <c r="N16" s="690"/>
      <c r="O16" s="261" t="s">
        <v>17</v>
      </c>
      <c r="P16">
        <v>25</v>
      </c>
      <c r="Q16">
        <v>28</v>
      </c>
      <c r="R16">
        <v>39</v>
      </c>
      <c r="S16">
        <v>22</v>
      </c>
      <c r="T16">
        <v>28</v>
      </c>
      <c r="U16">
        <v>31</v>
      </c>
      <c r="V16">
        <v>38</v>
      </c>
      <c r="W16">
        <v>37</v>
      </c>
      <c r="X16">
        <v>66</v>
      </c>
      <c r="Y16">
        <v>7</v>
      </c>
      <c r="Z16">
        <v>8</v>
      </c>
      <c r="AA16" s="4">
        <v>5</v>
      </c>
      <c r="AC16" s="690"/>
      <c r="AD16" s="80" t="s">
        <v>17</v>
      </c>
      <c r="AE16">
        <v>5</v>
      </c>
      <c r="AF16">
        <v>0</v>
      </c>
      <c r="AG16">
        <v>1</v>
      </c>
      <c r="AH16">
        <v>0</v>
      </c>
      <c r="AI16">
        <v>6</v>
      </c>
      <c r="AJ16">
        <v>127</v>
      </c>
      <c r="AK16">
        <v>131</v>
      </c>
      <c r="AL16">
        <v>384</v>
      </c>
      <c r="AM16">
        <v>67</v>
      </c>
      <c r="AN16">
        <v>62</v>
      </c>
      <c r="AO16">
        <v>104</v>
      </c>
      <c r="AP16" s="4">
        <v>458</v>
      </c>
      <c r="AR16" s="690"/>
      <c r="AS16" s="80" t="s">
        <v>17</v>
      </c>
      <c r="AT16">
        <v>13</v>
      </c>
      <c r="AU16">
        <v>13</v>
      </c>
      <c r="AV16">
        <v>9</v>
      </c>
      <c r="AW16">
        <v>13</v>
      </c>
      <c r="AX16">
        <v>10</v>
      </c>
      <c r="AY16">
        <v>196</v>
      </c>
      <c r="AZ16">
        <v>228</v>
      </c>
      <c r="BA16">
        <v>193</v>
      </c>
      <c r="BB16">
        <v>25</v>
      </c>
      <c r="BC16">
        <v>20</v>
      </c>
      <c r="BD16">
        <v>35</v>
      </c>
      <c r="BE16" s="4">
        <v>384</v>
      </c>
      <c r="BG16" s="690"/>
      <c r="BH16" t="s">
        <v>17</v>
      </c>
      <c r="BI16">
        <v>256</v>
      </c>
      <c r="BJ16">
        <v>155</v>
      </c>
      <c r="BK16">
        <v>332</v>
      </c>
      <c r="BL16">
        <v>646</v>
      </c>
      <c r="BM16">
        <v>236</v>
      </c>
      <c r="BN16">
        <v>497</v>
      </c>
      <c r="BO16">
        <v>348</v>
      </c>
      <c r="BP16">
        <v>295</v>
      </c>
      <c r="BQ16">
        <v>413</v>
      </c>
      <c r="BR16">
        <v>590</v>
      </c>
      <c r="BS16">
        <v>94</v>
      </c>
      <c r="BT16" s="4">
        <v>248</v>
      </c>
      <c r="BV16" s="656"/>
      <c r="BW16" s="646"/>
      <c r="BX16" s="94" t="s">
        <v>119</v>
      </c>
      <c r="BY16" s="81">
        <v>41</v>
      </c>
      <c r="BZ16" s="6">
        <v>1.37353433835846E-2</v>
      </c>
      <c r="CA16" s="6">
        <v>1.74696573356365E-3</v>
      </c>
      <c r="CB16" s="790"/>
      <c r="CC16" s="6">
        <v>13.5</v>
      </c>
      <c r="CD16" s="256">
        <v>1.5414988621454702E-5</v>
      </c>
      <c r="CE16" s="6">
        <v>0.13457223644223198</v>
      </c>
      <c r="CF16" s="790"/>
      <c r="CH16" s="773"/>
      <c r="CI16" s="696"/>
      <c r="CJ16" t="s">
        <v>48</v>
      </c>
      <c r="CK16" s="80">
        <v>316.5</v>
      </c>
      <c r="CL16">
        <v>3.29061939542016E-3</v>
      </c>
      <c r="CM16">
        <v>3.8687681018506501E-4</v>
      </c>
      <c r="CN16" s="789"/>
      <c r="CO16" s="80">
        <v>313</v>
      </c>
      <c r="CP16">
        <v>6.2991745666298696E-4</v>
      </c>
      <c r="CQ16">
        <v>5.4830272894631698</v>
      </c>
      <c r="CR16" s="789"/>
    </row>
    <row r="17" spans="2:96" x14ac:dyDescent="0.25">
      <c r="B17" s="784"/>
      <c r="C17" s="264" t="s">
        <v>127</v>
      </c>
      <c r="D17" s="162" t="s">
        <v>121</v>
      </c>
      <c r="E17" s="257">
        <v>108</v>
      </c>
      <c r="F17" s="258">
        <f>E17/$K$29</f>
        <v>5.7315714058270972E-3</v>
      </c>
      <c r="G17" s="377">
        <f t="shared" si="1"/>
        <v>7.2898496716287205E-4</v>
      </c>
      <c r="H17" s="803"/>
      <c r="I17" s="257">
        <v>99</v>
      </c>
      <c r="J17" s="378">
        <f>I17/$F$29</f>
        <v>1.2563866320462351E-4</v>
      </c>
      <c r="K17" s="381">
        <f t="shared" si="3"/>
        <v>1.0945709561364019</v>
      </c>
      <c r="L17" s="803"/>
      <c r="N17" s="690"/>
      <c r="O17" s="261" t="s">
        <v>18</v>
      </c>
      <c r="P17">
        <v>6</v>
      </c>
      <c r="Q17">
        <v>8</v>
      </c>
      <c r="R17">
        <v>8</v>
      </c>
      <c r="S17">
        <v>9</v>
      </c>
      <c r="T17">
        <v>8</v>
      </c>
      <c r="U17">
        <v>5</v>
      </c>
      <c r="V17">
        <v>7</v>
      </c>
      <c r="W17">
        <v>5</v>
      </c>
      <c r="X17">
        <v>4</v>
      </c>
      <c r="Y17">
        <v>7</v>
      </c>
      <c r="Z17">
        <v>6</v>
      </c>
      <c r="AA17" s="4">
        <v>5</v>
      </c>
      <c r="AC17" s="690"/>
      <c r="AD17" s="80" t="s">
        <v>18</v>
      </c>
      <c r="AE17">
        <v>3</v>
      </c>
      <c r="AF17">
        <v>3</v>
      </c>
      <c r="AG17">
        <v>3</v>
      </c>
      <c r="AH17">
        <v>6</v>
      </c>
      <c r="AI17">
        <v>4</v>
      </c>
      <c r="AJ17">
        <v>9</v>
      </c>
      <c r="AK17">
        <v>7</v>
      </c>
      <c r="AL17">
        <v>11</v>
      </c>
      <c r="AM17">
        <v>4</v>
      </c>
      <c r="AN17">
        <v>4</v>
      </c>
      <c r="AO17">
        <v>4</v>
      </c>
      <c r="AP17" s="4">
        <v>7</v>
      </c>
      <c r="AR17" s="690"/>
      <c r="AS17" s="80" t="s">
        <v>18</v>
      </c>
      <c r="AT17">
        <v>4</v>
      </c>
      <c r="AU17">
        <v>4</v>
      </c>
      <c r="AV17">
        <v>3</v>
      </c>
      <c r="AW17">
        <v>3</v>
      </c>
      <c r="AX17">
        <v>3</v>
      </c>
      <c r="AY17">
        <v>2</v>
      </c>
      <c r="AZ17">
        <v>4</v>
      </c>
      <c r="BA17">
        <v>2</v>
      </c>
      <c r="BB17">
        <v>3</v>
      </c>
      <c r="BC17">
        <v>6</v>
      </c>
      <c r="BD17">
        <v>5</v>
      </c>
      <c r="BE17" s="4">
        <v>3</v>
      </c>
      <c r="BG17" s="690"/>
      <c r="BH17" t="s">
        <v>18</v>
      </c>
      <c r="BI17">
        <v>373</v>
      </c>
      <c r="BJ17">
        <v>195</v>
      </c>
      <c r="BK17">
        <v>118</v>
      </c>
      <c r="BL17">
        <v>315</v>
      </c>
      <c r="BM17">
        <v>217</v>
      </c>
      <c r="BN17">
        <v>179</v>
      </c>
      <c r="BO17">
        <v>89</v>
      </c>
      <c r="BP17">
        <v>9</v>
      </c>
      <c r="BQ17">
        <v>8</v>
      </c>
      <c r="BR17">
        <v>7</v>
      </c>
      <c r="BS17">
        <v>6</v>
      </c>
      <c r="BT17" s="4">
        <v>7</v>
      </c>
      <c r="CH17" s="773"/>
      <c r="CI17" s="696"/>
      <c r="CJ17" t="s">
        <v>49</v>
      </c>
      <c r="CK17" s="80">
        <v>373</v>
      </c>
      <c r="CL17">
        <v>3.8780443427858498E-3</v>
      </c>
      <c r="CM17">
        <v>4.55940127011151E-4</v>
      </c>
      <c r="CN17" s="789"/>
      <c r="CO17" s="80">
        <v>289</v>
      </c>
      <c r="CP17">
        <v>5.8161707659937104E-4</v>
      </c>
      <c r="CQ17">
        <v>5.0626034717407604</v>
      </c>
      <c r="CR17" s="789"/>
    </row>
    <row r="18" spans="2:96" x14ac:dyDescent="0.25">
      <c r="B18" s="783" t="s">
        <v>142</v>
      </c>
      <c r="C18" s="93" t="s">
        <v>128</v>
      </c>
      <c r="D18" t="s">
        <v>117</v>
      </c>
      <c r="E18" s="80">
        <v>183</v>
      </c>
      <c r="F18" s="255">
        <f>E18/$K$30</f>
        <v>4.4096385542168673E-2</v>
      </c>
      <c r="G18" s="255">
        <f t="shared" si="1"/>
        <v>5.6085146446536146E-3</v>
      </c>
      <c r="H18" s="801">
        <f>AVERAGE(G18:G22)</f>
        <v>4.8484536436295177E-3</v>
      </c>
      <c r="I18" s="80">
        <v>257.5</v>
      </c>
      <c r="J18" s="379">
        <f>I18/$F$30</f>
        <v>3.2461249777025882E-4</v>
      </c>
      <c r="K18" s="379">
        <f t="shared" si="3"/>
        <v>2.8280419657087079</v>
      </c>
      <c r="L18" s="801">
        <f>AVERAGE(K18:K22)</f>
        <v>1.9834733165320102</v>
      </c>
      <c r="N18" s="690"/>
      <c r="O18" s="261" t="s">
        <v>19</v>
      </c>
      <c r="P18">
        <v>7</v>
      </c>
      <c r="Q18">
        <v>6</v>
      </c>
      <c r="R18">
        <v>7</v>
      </c>
      <c r="S18">
        <v>5</v>
      </c>
      <c r="T18">
        <v>9</v>
      </c>
      <c r="U18">
        <v>6</v>
      </c>
      <c r="V18">
        <v>5</v>
      </c>
      <c r="W18">
        <v>5</v>
      </c>
      <c r="X18">
        <v>6</v>
      </c>
      <c r="Y18">
        <v>7</v>
      </c>
      <c r="Z18">
        <v>3</v>
      </c>
      <c r="AA18" s="4">
        <v>8</v>
      </c>
      <c r="AC18" s="690"/>
      <c r="AD18" s="80" t="s">
        <v>19</v>
      </c>
      <c r="AE18">
        <v>2</v>
      </c>
      <c r="AF18">
        <v>2</v>
      </c>
      <c r="AG18">
        <v>3</v>
      </c>
      <c r="AH18">
        <v>4</v>
      </c>
      <c r="AI18">
        <v>5</v>
      </c>
      <c r="AJ18">
        <v>2</v>
      </c>
      <c r="AK18">
        <v>2</v>
      </c>
      <c r="AL18">
        <v>4</v>
      </c>
      <c r="AM18">
        <v>2</v>
      </c>
      <c r="AN18">
        <v>2</v>
      </c>
      <c r="AO18">
        <v>3</v>
      </c>
      <c r="AP18" s="4">
        <v>3</v>
      </c>
      <c r="AR18" s="690"/>
      <c r="AS18" s="80" t="s">
        <v>19</v>
      </c>
      <c r="AT18">
        <v>5</v>
      </c>
      <c r="AU18">
        <v>2</v>
      </c>
      <c r="AV18">
        <v>3</v>
      </c>
      <c r="AW18">
        <v>5</v>
      </c>
      <c r="AX18">
        <v>3</v>
      </c>
      <c r="AY18">
        <v>4</v>
      </c>
      <c r="AZ18">
        <v>3</v>
      </c>
      <c r="BA18">
        <v>3</v>
      </c>
      <c r="BB18">
        <v>5</v>
      </c>
      <c r="BC18">
        <v>3</v>
      </c>
      <c r="BD18">
        <v>3</v>
      </c>
      <c r="BE18" s="4">
        <v>3</v>
      </c>
      <c r="BG18" s="690"/>
      <c r="BH18" t="s">
        <v>19</v>
      </c>
      <c r="BI18" t="s">
        <v>164</v>
      </c>
      <c r="BJ18" t="s">
        <v>164</v>
      </c>
      <c r="BK18" t="s">
        <v>164</v>
      </c>
      <c r="BL18" t="s">
        <v>164</v>
      </c>
      <c r="BM18" t="s">
        <v>164</v>
      </c>
      <c r="BN18" t="s">
        <v>164</v>
      </c>
      <c r="BO18" t="s">
        <v>164</v>
      </c>
      <c r="BP18" t="s">
        <v>164</v>
      </c>
      <c r="BQ18" t="s">
        <v>164</v>
      </c>
      <c r="BR18" t="s">
        <v>164</v>
      </c>
      <c r="BS18" t="s">
        <v>164</v>
      </c>
      <c r="BT18" s="4" t="s">
        <v>164</v>
      </c>
      <c r="CH18" s="773"/>
      <c r="CI18" s="696"/>
      <c r="CJ18" t="s">
        <v>711</v>
      </c>
      <c r="CK18" s="80">
        <v>429</v>
      </c>
      <c r="CL18">
        <v>4.4602708392898899E-3</v>
      </c>
      <c r="CM18">
        <v>5.2439226404231497E-4</v>
      </c>
      <c r="CN18" s="789"/>
      <c r="CO18" s="80">
        <v>357.5</v>
      </c>
      <c r="CP18">
        <v>7.1947441136427403E-4</v>
      </c>
      <c r="CQ18">
        <v>6.2625631181568204</v>
      </c>
      <c r="CR18" s="789"/>
    </row>
    <row r="19" spans="2:96" ht="15.75" thickBot="1" x14ac:dyDescent="0.3">
      <c r="B19" s="645"/>
      <c r="C19" s="93" t="s">
        <v>128</v>
      </c>
      <c r="D19" t="s">
        <v>118</v>
      </c>
      <c r="E19" s="80">
        <v>95.5</v>
      </c>
      <c r="F19" s="255">
        <f>E19/$K$30</f>
        <v>2.3012048192771084E-2</v>
      </c>
      <c r="G19" s="255">
        <f t="shared" si="1"/>
        <v>2.9268478063629519E-3</v>
      </c>
      <c r="H19" s="802"/>
      <c r="I19" s="80">
        <v>117</v>
      </c>
      <c r="J19" s="379">
        <f>I19/$F$30</f>
        <v>1.4749383393833118E-4</v>
      </c>
      <c r="K19" s="379">
        <f t="shared" si="3"/>
        <v>1.2849744077200731</v>
      </c>
      <c r="L19" s="802"/>
      <c r="N19" s="691"/>
      <c r="O19" s="262" t="s">
        <v>20</v>
      </c>
      <c r="P19" s="6">
        <v>5</v>
      </c>
      <c r="Q19" s="6">
        <v>7</v>
      </c>
      <c r="R19" s="6">
        <v>4</v>
      </c>
      <c r="S19" s="6">
        <v>8</v>
      </c>
      <c r="T19" s="6">
        <v>6</v>
      </c>
      <c r="U19" s="6">
        <v>9</v>
      </c>
      <c r="V19" s="6">
        <v>5</v>
      </c>
      <c r="W19" s="6">
        <v>6</v>
      </c>
      <c r="X19" s="6">
        <v>7</v>
      </c>
      <c r="Y19" s="6">
        <v>5</v>
      </c>
      <c r="Z19" s="6">
        <v>7</v>
      </c>
      <c r="AA19" s="7">
        <v>3</v>
      </c>
      <c r="AC19" s="691"/>
      <c r="AD19" s="81" t="s">
        <v>20</v>
      </c>
      <c r="AE19" s="6">
        <v>3</v>
      </c>
      <c r="AF19" s="6">
        <v>2</v>
      </c>
      <c r="AG19" s="6">
        <v>4</v>
      </c>
      <c r="AH19" s="6">
        <v>4</v>
      </c>
      <c r="AI19" s="6">
        <v>2</v>
      </c>
      <c r="AJ19" s="6">
        <v>4</v>
      </c>
      <c r="AK19" s="6">
        <v>2</v>
      </c>
      <c r="AL19" s="6">
        <v>3</v>
      </c>
      <c r="AM19" s="6">
        <v>4</v>
      </c>
      <c r="AN19" s="6">
        <v>3</v>
      </c>
      <c r="AO19" s="6">
        <v>5</v>
      </c>
      <c r="AP19" s="7">
        <v>5</v>
      </c>
      <c r="AR19" s="691"/>
      <c r="AS19" s="81" t="s">
        <v>20</v>
      </c>
      <c r="AT19" s="6">
        <v>2</v>
      </c>
      <c r="AU19" s="6">
        <v>5</v>
      </c>
      <c r="AV19" s="6">
        <v>3</v>
      </c>
      <c r="AW19" s="6">
        <v>2</v>
      </c>
      <c r="AX19" s="6">
        <v>5</v>
      </c>
      <c r="AY19" s="6">
        <v>3</v>
      </c>
      <c r="AZ19" s="6">
        <v>3</v>
      </c>
      <c r="BA19" s="6">
        <v>4</v>
      </c>
      <c r="BB19" s="6">
        <v>3</v>
      </c>
      <c r="BC19" s="6">
        <v>3</v>
      </c>
      <c r="BD19" s="6">
        <v>2</v>
      </c>
      <c r="BE19" s="7">
        <v>4</v>
      </c>
      <c r="BG19" s="691"/>
      <c r="BH19" s="6" t="s">
        <v>20</v>
      </c>
      <c r="BI19" s="6" t="s">
        <v>164</v>
      </c>
      <c r="BJ19" s="6" t="s">
        <v>164</v>
      </c>
      <c r="BK19" s="6" t="s">
        <v>164</v>
      </c>
      <c r="BL19" s="6" t="s">
        <v>164</v>
      </c>
      <c r="BM19" s="6" t="s">
        <v>164</v>
      </c>
      <c r="BN19" s="6" t="s">
        <v>164</v>
      </c>
      <c r="BO19" s="6" t="s">
        <v>164</v>
      </c>
      <c r="BP19" s="6" t="s">
        <v>164</v>
      </c>
      <c r="BQ19" s="6" t="s">
        <v>164</v>
      </c>
      <c r="BR19" s="6" t="s">
        <v>164</v>
      </c>
      <c r="BS19" s="6" t="s">
        <v>164</v>
      </c>
      <c r="BT19" s="7" t="s">
        <v>164</v>
      </c>
      <c r="CH19" s="809"/>
      <c r="CI19" s="639"/>
      <c r="CJ19" s="6" t="s">
        <v>712</v>
      </c>
      <c r="CK19" s="81">
        <v>427.5</v>
      </c>
      <c r="CL19" s="6">
        <v>4.4446754867049597E-3</v>
      </c>
      <c r="CM19" s="6">
        <v>5.2255872465755196E-4</v>
      </c>
      <c r="CN19" s="790"/>
      <c r="CO19" s="81">
        <v>339</v>
      </c>
      <c r="CP19" s="6">
        <v>6.8224286839857105E-4</v>
      </c>
      <c r="CQ19" s="6">
        <v>5.9384864253291196</v>
      </c>
      <c r="CR19" s="790"/>
    </row>
    <row r="20" spans="2:96" x14ac:dyDescent="0.25">
      <c r="B20" s="645"/>
      <c r="C20" s="93" t="s">
        <v>128</v>
      </c>
      <c r="D20" t="s">
        <v>119</v>
      </c>
      <c r="E20" s="80">
        <v>180</v>
      </c>
      <c r="F20" s="255">
        <f>E20/$K$30</f>
        <v>4.3373493975903614E-2</v>
      </c>
      <c r="G20" s="255">
        <f t="shared" si="1"/>
        <v>5.5165717816265053E-3</v>
      </c>
      <c r="H20" s="802"/>
      <c r="I20" s="80">
        <v>198.5</v>
      </c>
      <c r="J20" s="379">
        <f>I20/$F$30</f>
        <v>2.5023526527144226E-4</v>
      </c>
      <c r="K20" s="379">
        <f t="shared" si="3"/>
        <v>2.1800634182259362</v>
      </c>
      <c r="L20" s="802"/>
      <c r="N20" s="647" t="s">
        <v>171</v>
      </c>
      <c r="O20" s="640" t="s">
        <v>127</v>
      </c>
      <c r="P20" s="634"/>
      <c r="Q20" s="634"/>
      <c r="R20" s="634"/>
      <c r="S20" s="634"/>
      <c r="T20" s="634"/>
      <c r="U20" s="634">
        <f>AVERAGE(P3,P7)</f>
        <v>16143.5</v>
      </c>
      <c r="V20" s="634"/>
      <c r="W20" s="634"/>
      <c r="X20" s="634"/>
      <c r="Y20" s="634"/>
      <c r="Z20" s="634"/>
      <c r="AA20" s="637"/>
      <c r="AC20" s="647" t="s">
        <v>171</v>
      </c>
      <c r="AD20" s="640" t="s">
        <v>195</v>
      </c>
      <c r="AE20" s="634"/>
      <c r="AF20" s="634"/>
      <c r="AG20" s="634"/>
      <c r="AH20" s="634"/>
      <c r="AI20" s="634"/>
      <c r="AJ20" s="634">
        <f>AVERAGE(AE3)</f>
        <v>8232</v>
      </c>
      <c r="AK20" s="634"/>
      <c r="AL20" s="634"/>
      <c r="AM20" s="634"/>
      <c r="AN20" s="634"/>
      <c r="AO20" s="634"/>
      <c r="AP20" s="637"/>
      <c r="AQ20" s="37"/>
      <c r="AR20" s="647" t="s">
        <v>171</v>
      </c>
      <c r="AS20" s="640" t="s">
        <v>195</v>
      </c>
      <c r="AT20" s="634"/>
      <c r="AU20" s="634"/>
      <c r="AV20" s="634"/>
      <c r="AW20" s="634"/>
      <c r="AX20" s="634"/>
      <c r="AY20" s="634">
        <f>AVERAGE(AT3,AT7)</f>
        <v>832273.5</v>
      </c>
      <c r="AZ20" s="634"/>
      <c r="BA20" s="634"/>
      <c r="BB20" s="634"/>
      <c r="BC20" s="634"/>
      <c r="BD20" s="634"/>
      <c r="BE20" s="637"/>
      <c r="BG20" s="647" t="s">
        <v>171</v>
      </c>
      <c r="BH20" s="640" t="s">
        <v>195</v>
      </c>
      <c r="BI20" s="634"/>
      <c r="BJ20" s="634"/>
      <c r="BK20" s="634"/>
      <c r="BL20" s="634"/>
      <c r="BM20" s="634"/>
      <c r="BN20" s="634">
        <f>AVERAGE(BI3,BI7)</f>
        <v>13397</v>
      </c>
      <c r="BO20" s="634"/>
      <c r="BP20" s="634"/>
      <c r="BQ20" s="634"/>
      <c r="BR20" s="634"/>
      <c r="BS20" s="634"/>
      <c r="BT20" s="637"/>
    </row>
    <row r="21" spans="2:96" x14ac:dyDescent="0.25">
      <c r="B21" s="645"/>
      <c r="C21" s="93" t="s">
        <v>128</v>
      </c>
      <c r="D21" t="s">
        <v>120</v>
      </c>
      <c r="E21" s="80">
        <v>139</v>
      </c>
      <c r="F21" s="255">
        <f>E21/$K$30</f>
        <v>3.3493975903614456E-2</v>
      </c>
      <c r="G21" s="255">
        <f t="shared" si="1"/>
        <v>4.2600193202560234E-3</v>
      </c>
      <c r="H21" s="802"/>
      <c r="I21" s="80">
        <v>173</v>
      </c>
      <c r="J21" s="379">
        <f>I21/$F$30</f>
        <v>2.1808917325924184E-4</v>
      </c>
      <c r="K21" s="379">
        <f t="shared" si="3"/>
        <v>1.9000048934664331</v>
      </c>
      <c r="L21" s="802"/>
      <c r="N21" s="648"/>
      <c r="O21" s="791" t="s">
        <v>128</v>
      </c>
      <c r="P21" s="792"/>
      <c r="Q21" s="792"/>
      <c r="R21" s="792"/>
      <c r="S21" s="792"/>
      <c r="T21" s="792"/>
      <c r="U21" s="792">
        <f>AVERAGE(S5,S9)</f>
        <v>15464</v>
      </c>
      <c r="V21" s="792"/>
      <c r="W21" s="792"/>
      <c r="X21" s="792"/>
      <c r="Y21" s="792"/>
      <c r="Z21" s="792"/>
      <c r="AA21" s="793"/>
      <c r="AC21" s="648"/>
      <c r="AD21" s="791" t="s">
        <v>196</v>
      </c>
      <c r="AE21" s="792"/>
      <c r="AF21" s="792"/>
      <c r="AG21" s="792"/>
      <c r="AH21" s="792"/>
      <c r="AI21" s="792"/>
      <c r="AJ21" s="792">
        <f>AVERAGE(SUM(AH5,AI5),AH8)</f>
        <v>8425.5</v>
      </c>
      <c r="AK21" s="792"/>
      <c r="AL21" s="792"/>
      <c r="AM21" s="792"/>
      <c r="AN21" s="792"/>
      <c r="AO21" s="792"/>
      <c r="AP21" s="793"/>
      <c r="AQ21" s="37"/>
      <c r="AR21" s="648"/>
      <c r="AS21" s="791" t="s">
        <v>196</v>
      </c>
      <c r="AT21" s="792"/>
      <c r="AU21" s="792"/>
      <c r="AV21" s="792"/>
      <c r="AW21" s="792"/>
      <c r="AX21" s="792"/>
      <c r="AY21" s="792">
        <f>AVERAGE(AW5,AW9)</f>
        <v>811830.5</v>
      </c>
      <c r="AZ21" s="792"/>
      <c r="BA21" s="792"/>
      <c r="BB21" s="792"/>
      <c r="BC21" s="792"/>
      <c r="BD21" s="792"/>
      <c r="BE21" s="793"/>
      <c r="BG21" s="648"/>
      <c r="BH21" s="791" t="s">
        <v>196</v>
      </c>
      <c r="BI21" s="792"/>
      <c r="BJ21" s="792"/>
      <c r="BK21" s="792"/>
      <c r="BL21" s="792"/>
      <c r="BM21" s="792"/>
      <c r="BN21" s="792">
        <f>AVERAGE(BL5,BL9)</f>
        <v>12615.5</v>
      </c>
      <c r="BO21" s="792"/>
      <c r="BP21" s="792"/>
      <c r="BQ21" s="792"/>
      <c r="BR21" s="792"/>
      <c r="BS21" s="792"/>
      <c r="BT21" s="793"/>
    </row>
    <row r="22" spans="2:96" ht="15.75" thickBot="1" x14ac:dyDescent="0.3">
      <c r="B22" s="646"/>
      <c r="C22" s="94" t="s">
        <v>128</v>
      </c>
      <c r="D22" s="90" t="s">
        <v>121</v>
      </c>
      <c r="E22" s="81">
        <v>193.5</v>
      </c>
      <c r="F22" s="256">
        <f>E22/$K$30</f>
        <v>4.6626506024096383E-2</v>
      </c>
      <c r="G22" s="256">
        <f t="shared" si="1"/>
        <v>5.9303146652484933E-3</v>
      </c>
      <c r="H22" s="804"/>
      <c r="I22" s="81">
        <v>157</v>
      </c>
      <c r="J22" s="380">
        <f>I22/$F$30</f>
        <v>1.9791907631041023E-4</v>
      </c>
      <c r="K22" s="380">
        <f t="shared" si="3"/>
        <v>1.7242818975389018</v>
      </c>
      <c r="L22" s="804"/>
      <c r="N22" s="656"/>
      <c r="O22" s="716" t="s">
        <v>172</v>
      </c>
      <c r="P22" s="649"/>
      <c r="Q22" s="649"/>
      <c r="R22" s="649"/>
      <c r="S22" s="649"/>
      <c r="T22" s="649"/>
      <c r="U22" s="649">
        <v>0.14925369999999999</v>
      </c>
      <c r="V22" s="649"/>
      <c r="W22" s="649"/>
      <c r="X22" s="649"/>
      <c r="Y22" s="649"/>
      <c r="Z22" s="649"/>
      <c r="AA22" s="717"/>
      <c r="AC22" s="656"/>
      <c r="AD22" s="716" t="s">
        <v>172</v>
      </c>
      <c r="AE22" s="649"/>
      <c r="AF22" s="649"/>
      <c r="AG22" s="649"/>
      <c r="AH22" s="649"/>
      <c r="AI22" s="649"/>
      <c r="AJ22" s="799">
        <v>1.2210012209999999E-2</v>
      </c>
      <c r="AK22" s="799"/>
      <c r="AL22" s="799"/>
      <c r="AM22" s="799"/>
      <c r="AN22" s="799"/>
      <c r="AO22" s="799"/>
      <c r="AP22" s="800"/>
      <c r="AQ22" s="376"/>
      <c r="AR22" s="656"/>
      <c r="AS22" s="716" t="s">
        <v>172</v>
      </c>
      <c r="AT22" s="649"/>
      <c r="AU22" s="649"/>
      <c r="AV22" s="649"/>
      <c r="AW22" s="649"/>
      <c r="AX22" s="649"/>
      <c r="AY22" s="799">
        <v>836.35728930000005</v>
      </c>
      <c r="AZ22" s="799"/>
      <c r="BA22" s="799"/>
      <c r="BB22" s="799"/>
      <c r="BC22" s="799"/>
      <c r="BD22" s="799"/>
      <c r="BE22" s="800"/>
      <c r="BG22" s="656"/>
      <c r="BH22" s="716" t="s">
        <v>172</v>
      </c>
      <c r="BI22" s="649"/>
      <c r="BJ22" s="649"/>
      <c r="BK22" s="649"/>
      <c r="BL22" s="649"/>
      <c r="BM22" s="649"/>
      <c r="BN22" s="649">
        <v>0.14925369999999999</v>
      </c>
      <c r="BO22" s="649"/>
      <c r="BP22" s="649"/>
      <c r="BQ22" s="649"/>
      <c r="BR22" s="649"/>
      <c r="BS22" s="649"/>
      <c r="BT22" s="717"/>
    </row>
    <row r="23" spans="2:96" x14ac:dyDescent="0.25">
      <c r="N23" s="647" t="s">
        <v>167</v>
      </c>
      <c r="O23" s="259" t="s">
        <v>10</v>
      </c>
      <c r="P23" s="267" t="s">
        <v>168</v>
      </c>
      <c r="Q23" s="211" t="s">
        <v>56</v>
      </c>
      <c r="R23" s="210" t="s">
        <v>155</v>
      </c>
      <c r="S23" s="210" t="s">
        <v>169</v>
      </c>
      <c r="T23" s="210" t="s">
        <v>170</v>
      </c>
      <c r="U23" s="266" t="s">
        <v>163</v>
      </c>
      <c r="AC23" s="647" t="s">
        <v>101</v>
      </c>
      <c r="AD23" s="259" t="s">
        <v>10</v>
      </c>
      <c r="AE23" s="345" t="s">
        <v>168</v>
      </c>
      <c r="AF23" s="265" t="s">
        <v>56</v>
      </c>
      <c r="AG23" s="210" t="s">
        <v>155</v>
      </c>
      <c r="AH23" s="210" t="s">
        <v>169</v>
      </c>
      <c r="AI23" s="210" t="s">
        <v>170</v>
      </c>
      <c r="AJ23" s="266" t="s">
        <v>163</v>
      </c>
      <c r="AR23" s="647" t="s">
        <v>101</v>
      </c>
      <c r="AS23" s="259" t="s">
        <v>10</v>
      </c>
      <c r="AT23" s="345" t="s">
        <v>168</v>
      </c>
      <c r="AU23" s="265" t="s">
        <v>56</v>
      </c>
      <c r="AV23" s="210" t="s">
        <v>158</v>
      </c>
      <c r="AW23" s="210" t="s">
        <v>169</v>
      </c>
      <c r="AX23" s="210" t="s">
        <v>170</v>
      </c>
      <c r="AY23" s="266" t="s">
        <v>163</v>
      </c>
      <c r="BG23" s="647" t="s">
        <v>101</v>
      </c>
      <c r="BH23" s="259" t="s">
        <v>10</v>
      </c>
      <c r="BI23" s="345" t="s">
        <v>168</v>
      </c>
      <c r="BJ23" s="265" t="s">
        <v>56</v>
      </c>
      <c r="BK23" s="210" t="s">
        <v>155</v>
      </c>
      <c r="BL23" s="210" t="s">
        <v>169</v>
      </c>
      <c r="BM23" s="210" t="s">
        <v>170</v>
      </c>
      <c r="BN23" s="266" t="s">
        <v>163</v>
      </c>
    </row>
    <row r="24" spans="2:96" x14ac:dyDescent="0.25">
      <c r="N24" s="648"/>
      <c r="O24" s="783" t="s">
        <v>96</v>
      </c>
      <c r="P24" s="680" t="s">
        <v>127</v>
      </c>
      <c r="Q24" s="164" t="s">
        <v>122</v>
      </c>
      <c r="R24" s="268">
        <f>AVERAGE(P12,P16)</f>
        <v>22.5</v>
      </c>
      <c r="S24" s="268">
        <f>R24/$U$20</f>
        <v>1.3937498064236381E-3</v>
      </c>
      <c r="T24" s="268">
        <f>$U$22*S24/24*0.25*1000</f>
        <v>2.1668991196147056E-3</v>
      </c>
      <c r="U24" s="788">
        <f>AVERAGE(T24:T28)</f>
        <v>2.619540269045333E-3</v>
      </c>
      <c r="AC24" s="648"/>
      <c r="AD24" s="645" t="s">
        <v>94</v>
      </c>
      <c r="AE24" s="748" t="s">
        <v>151</v>
      </c>
      <c r="AF24" s="89" t="s">
        <v>117</v>
      </c>
      <c r="AG24">
        <f>AVERAGE(AE12,AE16)</f>
        <v>7</v>
      </c>
      <c r="AH24">
        <f>AG24/$AJ$20</f>
        <v>8.5034013605442174E-4</v>
      </c>
      <c r="AI24">
        <f>$AJ$22*AH24/24*0.25*1000</f>
        <v>1.0815274420705781E-4</v>
      </c>
      <c r="AJ24" s="801">
        <f>AVERAGE(AI24:AI28)</f>
        <v>6.0256528915360782E-5</v>
      </c>
      <c r="AR24" s="648"/>
      <c r="AS24" s="645" t="s">
        <v>94</v>
      </c>
      <c r="AT24" s="748" t="s">
        <v>151</v>
      </c>
      <c r="AU24" s="89" t="s">
        <v>117</v>
      </c>
      <c r="AV24">
        <f>AVERAGE(AT12,AT16)</f>
        <v>12</v>
      </c>
      <c r="AW24">
        <f>AV24/$AY$20</f>
        <v>1.441833724130349E-5</v>
      </c>
      <c r="AX24">
        <f>$AY$22*AW24/24*0.25*1000</f>
        <v>0.12561334845156072</v>
      </c>
      <c r="AY24" s="788">
        <f>AVERAGE(AX24:AX28)</f>
        <v>0.10886490199135261</v>
      </c>
      <c r="BG24" s="648"/>
      <c r="BH24" s="645" t="s">
        <v>94</v>
      </c>
      <c r="BI24" s="675" t="s">
        <v>151</v>
      </c>
      <c r="BJ24" s="93" t="s">
        <v>122</v>
      </c>
      <c r="BK24">
        <f>AVERAGE(BI12,BI16)</f>
        <v>236.5</v>
      </c>
      <c r="BL24">
        <f>BK24/$BN$20</f>
        <v>1.7653205941628721E-2</v>
      </c>
      <c r="BM24">
        <f>$BN$22*BL24/24*0.25*1000</f>
        <v>2.7445898996354901E-2</v>
      </c>
      <c r="BN24" s="788">
        <f>AVERAGE(BM24:BM28)</f>
        <v>3.6544243526224776E-2</v>
      </c>
    </row>
    <row r="25" spans="2:96" x14ac:dyDescent="0.25">
      <c r="C25" t="s">
        <v>171</v>
      </c>
      <c r="D25" t="s">
        <v>161</v>
      </c>
      <c r="H25" t="s">
        <v>171</v>
      </c>
      <c r="I25" t="s">
        <v>201</v>
      </c>
      <c r="N25" s="648"/>
      <c r="O25" s="645"/>
      <c r="P25" s="657"/>
      <c r="Q25" s="4" t="s">
        <v>123</v>
      </c>
      <c r="R25">
        <f>AVERAGE(Q12,Q16)</f>
        <v>25</v>
      </c>
      <c r="S25">
        <f>R25/$U$20</f>
        <v>1.5486108960262644E-3</v>
      </c>
      <c r="T25">
        <f t="shared" ref="T25:T32" si="4">$U$22*S25/24*0.25*1000</f>
        <v>2.4076656884607838E-3</v>
      </c>
      <c r="U25" s="789"/>
      <c r="AC25" s="648"/>
      <c r="AD25" s="645"/>
      <c r="AE25" s="743"/>
      <c r="AF25" s="89" t="s">
        <v>118</v>
      </c>
      <c r="AG25">
        <f>AVERAGE(AF12,AF16)</f>
        <v>1.5</v>
      </c>
      <c r="AH25">
        <f>AG25/$AJ$20</f>
        <v>1.8221574344023323E-4</v>
      </c>
      <c r="AI25">
        <f t="shared" ref="AI25:AI35" si="5">$AJ$22*AH25/24*0.25*1000</f>
        <v>2.317558804436953E-5</v>
      </c>
      <c r="AJ25" s="802"/>
      <c r="AR25" s="648"/>
      <c r="AS25" s="645"/>
      <c r="AT25" s="743"/>
      <c r="AU25" s="89" t="s">
        <v>118</v>
      </c>
      <c r="AV25">
        <f>AVERAGE(AU12,AU16)</f>
        <v>11</v>
      </c>
      <c r="AW25">
        <f>AV25/$AY$20</f>
        <v>1.3216809137861532E-5</v>
      </c>
      <c r="AX25">
        <f t="shared" ref="AX25:AX35" si="6">$AY$22*AW25/24*0.25*1000</f>
        <v>0.11514556941393064</v>
      </c>
      <c r="AY25" s="789"/>
      <c r="BG25" s="648"/>
      <c r="BH25" s="645"/>
      <c r="BI25" s="666"/>
      <c r="BJ25" s="93" t="s">
        <v>123</v>
      </c>
      <c r="BK25">
        <f>AVERAGE(BJ12,BJ16)</f>
        <v>154</v>
      </c>
      <c r="BL25">
        <f t="shared" ref="BL25:BL33" si="7">BK25/$BN$20</f>
        <v>1.1495110845711726E-2</v>
      </c>
      <c r="BM25">
        <f t="shared" ref="BM25:BM34" si="8">$BN$22*BL25/24*0.25*1000</f>
        <v>1.7871748183672959E-2</v>
      </c>
      <c r="BN25" s="789"/>
    </row>
    <row r="26" spans="2:96" x14ac:dyDescent="0.25">
      <c r="C26" s="163"/>
      <c r="D26" s="268">
        <v>1</v>
      </c>
      <c r="E26" s="268">
        <v>2</v>
      </c>
      <c r="F26" s="133" t="s">
        <v>200</v>
      </c>
      <c r="H26" s="163"/>
      <c r="I26" s="268">
        <v>1</v>
      </c>
      <c r="J26" s="268">
        <v>2</v>
      </c>
      <c r="K26" s="133" t="s">
        <v>200</v>
      </c>
      <c r="N26" s="648"/>
      <c r="O26" s="645"/>
      <c r="P26" s="657"/>
      <c r="Q26" s="4" t="s">
        <v>124</v>
      </c>
      <c r="R26">
        <f>AVERAGE(R12,R16)</f>
        <v>39</v>
      </c>
      <c r="S26">
        <f>R26/$U$20</f>
        <v>2.4158329978009726E-3</v>
      </c>
      <c r="T26">
        <f t="shared" si="4"/>
        <v>3.755958473998823E-3</v>
      </c>
      <c r="U26" s="789"/>
      <c r="AC26" s="648"/>
      <c r="AD26" s="645"/>
      <c r="AE26" s="743"/>
      <c r="AF26" s="89" t="s">
        <v>119</v>
      </c>
      <c r="AG26">
        <f>AVERAGE(AG12,AG16)</f>
        <v>3.5</v>
      </c>
      <c r="AH26">
        <f>AG26/$AJ$20</f>
        <v>4.2517006802721087E-4</v>
      </c>
      <c r="AI26">
        <f t="shared" si="5"/>
        <v>5.4076372103528906E-5</v>
      </c>
      <c r="AJ26" s="802"/>
      <c r="AR26" s="648"/>
      <c r="AS26" s="645"/>
      <c r="AT26" s="743"/>
      <c r="AU26" s="89" t="s">
        <v>119</v>
      </c>
      <c r="AV26">
        <f>AVERAGE(AV12,AV16)</f>
        <v>9</v>
      </c>
      <c r="AW26">
        <f>AV26/$AY$20</f>
        <v>1.0813752930977617E-5</v>
      </c>
      <c r="AX26">
        <f t="shared" si="6"/>
        <v>9.4210011338670532E-2</v>
      </c>
      <c r="AY26" s="789"/>
      <c r="BG26" s="648"/>
      <c r="BH26" s="645"/>
      <c r="BI26" s="666"/>
      <c r="BJ26" s="93" t="s">
        <v>124</v>
      </c>
      <c r="BK26">
        <f>AVERAGE(BK12,BK16)</f>
        <v>303.5</v>
      </c>
      <c r="BL26">
        <f t="shared" si="7"/>
        <v>2.2654325595282528E-2</v>
      </c>
      <c r="BM26">
        <f t="shared" si="8"/>
        <v>3.5221269959381456E-2</v>
      </c>
      <c r="BN26" s="789"/>
    </row>
    <row r="27" spans="2:96" x14ac:dyDescent="0.25">
      <c r="C27" s="79" t="s">
        <v>51</v>
      </c>
      <c r="D27">
        <v>677459</v>
      </c>
      <c r="E27">
        <v>673906</v>
      </c>
      <c r="F27" s="132">
        <f>AVERAGE(D27:E27)</f>
        <v>675682.5</v>
      </c>
      <c r="H27" s="79" t="s">
        <v>51</v>
      </c>
      <c r="I27">
        <v>39517</v>
      </c>
      <c r="J27">
        <v>42634</v>
      </c>
      <c r="K27" s="132">
        <f>AVERAGE(I27:J27)</f>
        <v>41075.5</v>
      </c>
      <c r="N27" s="648"/>
      <c r="O27" s="645"/>
      <c r="P27" s="657"/>
      <c r="Q27" s="4" t="s">
        <v>125</v>
      </c>
      <c r="R27">
        <f>AVERAGE(S12,S16)</f>
        <v>23</v>
      </c>
      <c r="S27">
        <f>R27/$U$20</f>
        <v>1.4247220243441632E-3</v>
      </c>
      <c r="T27">
        <f t="shared" si="4"/>
        <v>2.2150524333839211E-3</v>
      </c>
      <c r="U27" s="789"/>
      <c r="AC27" s="648"/>
      <c r="AD27" s="645"/>
      <c r="AE27" s="743"/>
      <c r="AF27" s="89" t="s">
        <v>120</v>
      </c>
      <c r="AG27">
        <f>AVERAGE(AH12,AH16)</f>
        <v>0</v>
      </c>
      <c r="AH27">
        <f>AG27/$AJ$20</f>
        <v>0</v>
      </c>
      <c r="AI27">
        <f t="shared" si="5"/>
        <v>0</v>
      </c>
      <c r="AJ27" s="802"/>
      <c r="AR27" s="648"/>
      <c r="AS27" s="645"/>
      <c r="AT27" s="743"/>
      <c r="AU27" s="89" t="s">
        <v>120</v>
      </c>
      <c r="AV27">
        <f>AVERAGE(AW12,AW16)</f>
        <v>11.5</v>
      </c>
      <c r="AW27">
        <f>AV27/$AY$20</f>
        <v>1.3817573189582512E-5</v>
      </c>
      <c r="AX27">
        <f t="shared" si="6"/>
        <v>0.12037945893274568</v>
      </c>
      <c r="AY27" s="789"/>
      <c r="BG27" s="648"/>
      <c r="BH27" s="645"/>
      <c r="BI27" s="666"/>
      <c r="BJ27" s="93" t="s">
        <v>125</v>
      </c>
      <c r="BK27">
        <f>AVERAGE(BL12,BL16)</f>
        <v>637.5</v>
      </c>
      <c r="BL27">
        <f t="shared" si="7"/>
        <v>4.7585280286631337E-2</v>
      </c>
      <c r="BM27">
        <f t="shared" si="8"/>
        <v>7.3982074461633199E-2</v>
      </c>
      <c r="BN27" s="789"/>
    </row>
    <row r="28" spans="2:96" x14ac:dyDescent="0.25">
      <c r="C28" s="79" t="s">
        <v>113</v>
      </c>
      <c r="D28">
        <v>908512</v>
      </c>
      <c r="E28">
        <v>917840</v>
      </c>
      <c r="F28" s="132">
        <f>AVERAGE(D28:E28)</f>
        <v>913176</v>
      </c>
      <c r="H28" s="79" t="s">
        <v>113</v>
      </c>
      <c r="I28">
        <v>10802</v>
      </c>
      <c r="K28" s="132">
        <f>AVERAGE(I28:J28)</f>
        <v>10802</v>
      </c>
      <c r="N28" s="648"/>
      <c r="O28" s="784"/>
      <c r="P28" s="658"/>
      <c r="Q28" s="165" t="s">
        <v>126</v>
      </c>
      <c r="R28" s="162">
        <f>AVERAGE(T12,T16)</f>
        <v>26.5</v>
      </c>
      <c r="S28" s="162">
        <f>R28/$U$20</f>
        <v>1.6415275497878403E-3</v>
      </c>
      <c r="T28" s="162">
        <f t="shared" si="4"/>
        <v>2.5521256297684311E-3</v>
      </c>
      <c r="U28" s="794"/>
      <c r="AC28" s="648"/>
      <c r="AD28" s="784"/>
      <c r="AE28" s="744"/>
      <c r="AF28" s="343" t="s">
        <v>121</v>
      </c>
      <c r="AG28" s="257">
        <f>AVERAGE(AI12,AI16)</f>
        <v>7.5</v>
      </c>
      <c r="AH28" s="162">
        <f>AG28/$AJ$20</f>
        <v>9.1107871720116614E-4</v>
      </c>
      <c r="AI28" s="162">
        <f t="shared" si="5"/>
        <v>1.1587794022184766E-4</v>
      </c>
      <c r="AJ28" s="803"/>
      <c r="AR28" s="648"/>
      <c r="AS28" s="784"/>
      <c r="AT28" s="744"/>
      <c r="AU28" s="343" t="s">
        <v>121</v>
      </c>
      <c r="AV28" s="257">
        <f>AVERAGE(AX12,AX16)</f>
        <v>8.5</v>
      </c>
      <c r="AW28" s="162">
        <f>AV28/$AY$20</f>
        <v>1.0212988879256639E-5</v>
      </c>
      <c r="AX28" s="162">
        <f t="shared" si="6"/>
        <v>8.8976121819855508E-2</v>
      </c>
      <c r="AY28" s="794"/>
      <c r="BG28" s="648"/>
      <c r="BH28" s="784"/>
      <c r="BI28" s="745"/>
      <c r="BJ28" s="264" t="s">
        <v>126</v>
      </c>
      <c r="BK28" s="257">
        <f>AVERAGE(BM12,BM16)</f>
        <v>243</v>
      </c>
      <c r="BL28" s="162">
        <f t="shared" si="7"/>
        <v>1.8138389191610062E-2</v>
      </c>
      <c r="BM28" s="162">
        <f t="shared" si="8"/>
        <v>2.8200226030081363E-2</v>
      </c>
      <c r="BN28" s="794"/>
    </row>
    <row r="29" spans="2:96" x14ac:dyDescent="0.25">
      <c r="C29" s="79" t="s">
        <v>127</v>
      </c>
      <c r="D29">
        <v>782207</v>
      </c>
      <c r="E29">
        <v>793741</v>
      </c>
      <c r="F29" s="132">
        <f>AVERAGE(D29:E29)</f>
        <v>787974</v>
      </c>
      <c r="H29" s="79" t="s">
        <v>127</v>
      </c>
      <c r="I29">
        <v>10725</v>
      </c>
      <c r="J29">
        <v>26961</v>
      </c>
      <c r="K29" s="132">
        <f>AVERAGE(I29:J29)</f>
        <v>18843</v>
      </c>
      <c r="N29" s="648"/>
      <c r="O29" s="645" t="s">
        <v>142</v>
      </c>
      <c r="P29" s="657" t="s">
        <v>128</v>
      </c>
      <c r="Q29" s="4" t="s">
        <v>122</v>
      </c>
      <c r="R29">
        <f>AVERAGE(U12,U16)</f>
        <v>29.5</v>
      </c>
      <c r="S29">
        <f>R29/$U$21</f>
        <v>1.9076564924987067E-3</v>
      </c>
      <c r="T29">
        <f t="shared" si="4"/>
        <v>2.9658832274422312E-3</v>
      </c>
      <c r="U29" s="788">
        <f>AVERAGE(T29:T32)</f>
        <v>4.5116613502193259E-3</v>
      </c>
      <c r="AC29" s="648"/>
      <c r="AD29" s="796" t="s">
        <v>144</v>
      </c>
      <c r="AE29" s="743" t="s">
        <v>154</v>
      </c>
      <c r="AF29" s="89" t="s">
        <v>46</v>
      </c>
      <c r="AG29">
        <f>AVERAGE(AJ12,AJ16)</f>
        <v>123.5</v>
      </c>
      <c r="AH29">
        <f>AG29/$AJ$21</f>
        <v>1.4657883805115424E-2</v>
      </c>
      <c r="AI29">
        <f t="shared" si="5"/>
        <v>1.8643014607627143E-3</v>
      </c>
      <c r="AJ29" s="788">
        <f>AVERAGE(AI29:AI30)</f>
        <v>1.8114670064091152E-3</v>
      </c>
      <c r="AR29" s="648"/>
      <c r="AS29" s="796" t="s">
        <v>144</v>
      </c>
      <c r="AT29" s="743" t="s">
        <v>154</v>
      </c>
      <c r="AU29" s="89" t="s">
        <v>46</v>
      </c>
      <c r="AV29">
        <f>AVERAGE(AY12,AY16)</f>
        <v>197</v>
      </c>
      <c r="AW29">
        <f>AV29/$AY$21</f>
        <v>2.4266149153055964E-4</v>
      </c>
      <c r="AX29">
        <f t="shared" si="6"/>
        <v>2.1140802841041015</v>
      </c>
      <c r="AY29" s="788">
        <f>AVERAGE(AX29:AX30)</f>
        <v>1.9584753900964396</v>
      </c>
      <c r="BG29" s="648"/>
      <c r="BH29" s="645" t="s">
        <v>143</v>
      </c>
      <c r="BI29" s="666" t="s">
        <v>150</v>
      </c>
      <c r="BJ29" s="93" t="s">
        <v>122</v>
      </c>
      <c r="BK29">
        <f>AVERAGE(BN12,BN16)</f>
        <v>512</v>
      </c>
      <c r="BL29">
        <f t="shared" si="7"/>
        <v>3.8217511383145483E-2</v>
      </c>
      <c r="BM29">
        <f t="shared" si="8"/>
        <v>5.9417760195068545E-2</v>
      </c>
      <c r="BN29" s="788">
        <f>AVERAGE(BM29:BM33)</f>
        <v>5.2129800546142177E-2</v>
      </c>
    </row>
    <row r="30" spans="2:96" x14ac:dyDescent="0.25">
      <c r="C30" s="138" t="s">
        <v>128</v>
      </c>
      <c r="D30" s="162">
        <v>778461</v>
      </c>
      <c r="E30" s="162">
        <v>808046</v>
      </c>
      <c r="F30" s="134">
        <f>AVERAGE(D30:E30)</f>
        <v>793253.5</v>
      </c>
      <c r="H30" s="138" t="s">
        <v>128</v>
      </c>
      <c r="I30" s="162">
        <v>2680</v>
      </c>
      <c r="J30" s="162">
        <v>5620</v>
      </c>
      <c r="K30" s="134">
        <f>AVERAGE(I30:J30)</f>
        <v>4150</v>
      </c>
      <c r="N30" s="648"/>
      <c r="O30" s="645"/>
      <c r="P30" s="657"/>
      <c r="Q30" s="4" t="s">
        <v>123</v>
      </c>
      <c r="R30">
        <f>AVERAGE(V12,V16)</f>
        <v>40.5</v>
      </c>
      <c r="S30">
        <f>R30/$U$21</f>
        <v>2.6189860320744956E-3</v>
      </c>
      <c r="T30">
        <f t="shared" si="4"/>
        <v>4.0718057868274699E-3</v>
      </c>
      <c r="U30" s="789"/>
      <c r="AC30" s="648"/>
      <c r="AD30" s="797"/>
      <c r="AE30" s="744"/>
      <c r="AF30" s="343" t="s">
        <v>44</v>
      </c>
      <c r="AG30" s="257">
        <f>AVERAGE(AK12,AK16)</f>
        <v>116.5</v>
      </c>
      <c r="AH30" s="162">
        <f t="shared" ref="AH30:AH35" si="9">AG30/$AJ$21</f>
        <v>1.3827072577295116E-2</v>
      </c>
      <c r="AI30" s="162">
        <f t="shared" si="5"/>
        <v>1.7586325520555159E-3</v>
      </c>
      <c r="AJ30" s="794"/>
      <c r="AR30" s="648"/>
      <c r="AS30" s="797"/>
      <c r="AT30" s="744"/>
      <c r="AU30" s="343" t="s">
        <v>44</v>
      </c>
      <c r="AV30" s="257">
        <f>AVERAGE(AZ12,AZ16)</f>
        <v>168</v>
      </c>
      <c r="AW30" s="162">
        <f t="shared" ref="AW30:AW35" si="10">AV30/$AY$21</f>
        <v>2.0693974912250771E-4</v>
      </c>
      <c r="AX30" s="162">
        <f t="shared" si="6"/>
        <v>1.8028704960887774</v>
      </c>
      <c r="AY30" s="794"/>
      <c r="BG30" s="648"/>
      <c r="BH30" s="645"/>
      <c r="BI30" s="666"/>
      <c r="BJ30" s="93" t="s">
        <v>123</v>
      </c>
      <c r="BK30">
        <f>AVERAGE(BO12,BO16)</f>
        <v>338</v>
      </c>
      <c r="BL30">
        <f t="shared" si="7"/>
        <v>2.5229528999029634E-2</v>
      </c>
      <c r="BM30">
        <f t="shared" si="8"/>
        <v>3.9225005753775723E-2</v>
      </c>
      <c r="BN30" s="789"/>
    </row>
    <row r="31" spans="2:96" x14ac:dyDescent="0.25">
      <c r="H31" s="255"/>
      <c r="N31" s="648"/>
      <c r="O31" s="645"/>
      <c r="P31" s="657"/>
      <c r="Q31" s="4" t="s">
        <v>124</v>
      </c>
      <c r="R31">
        <f>AVERAGE(W12,W16)</f>
        <v>41</v>
      </c>
      <c r="S31">
        <f>R31/$U$21</f>
        <v>2.6513191929643043E-3</v>
      </c>
      <c r="T31">
        <f t="shared" si="4"/>
        <v>4.1220749940722532E-3</v>
      </c>
      <c r="U31" s="789"/>
      <c r="AC31" s="648"/>
      <c r="AD31" s="736" t="s">
        <v>149</v>
      </c>
      <c r="AE31" s="743" t="s">
        <v>153</v>
      </c>
      <c r="AF31" s="89" t="s">
        <v>117</v>
      </c>
      <c r="AG31">
        <f>AVERAGE(AL12,AL16)</f>
        <v>386.5</v>
      </c>
      <c r="AH31">
        <f t="shared" si="9"/>
        <v>4.5872648507506976E-2</v>
      </c>
      <c r="AI31">
        <f t="shared" si="5"/>
        <v>5.8344333164760251E-3</v>
      </c>
      <c r="AJ31" s="788">
        <f>AVERAGE(AI31:AI35)</f>
        <v>3.1927105987960653E-3</v>
      </c>
      <c r="AR31" s="648"/>
      <c r="AS31" s="736" t="s">
        <v>149</v>
      </c>
      <c r="AT31" s="743" t="s">
        <v>153</v>
      </c>
      <c r="AU31" s="89" t="s">
        <v>117</v>
      </c>
      <c r="AV31">
        <f>AVERAGE(BA12,BA16)</f>
        <v>224</v>
      </c>
      <c r="AW31">
        <f t="shared" si="10"/>
        <v>2.7591966549667693E-4</v>
      </c>
      <c r="AX31">
        <f t="shared" si="6"/>
        <v>2.4038273281183695</v>
      </c>
      <c r="AY31" s="788">
        <f>AVERAGE(AX31:AX35)</f>
        <v>1.4487352200713388</v>
      </c>
      <c r="BG31" s="648"/>
      <c r="BH31" s="645"/>
      <c r="BI31" s="666"/>
      <c r="BJ31" s="93" t="s">
        <v>124</v>
      </c>
      <c r="BK31">
        <f>AVERAGE(BP12,BP16)</f>
        <v>312.5</v>
      </c>
      <c r="BL31">
        <f t="shared" si="7"/>
        <v>2.3326117787564379E-2</v>
      </c>
      <c r="BM31">
        <f t="shared" si="8"/>
        <v>3.6265722775310386E-2</v>
      </c>
      <c r="BN31" s="789"/>
    </row>
    <row r="32" spans="2:96" ht="15.75" thickBot="1" x14ac:dyDescent="0.3">
      <c r="C32" t="s">
        <v>172</v>
      </c>
      <c r="N32" s="656"/>
      <c r="O32" s="646"/>
      <c r="P32" s="636"/>
      <c r="Q32" s="7" t="s">
        <v>125</v>
      </c>
      <c r="R32" s="6">
        <f>AVERAGE(X12,X16)</f>
        <v>68.5</v>
      </c>
      <c r="S32" s="6">
        <f>R32/$U$21</f>
        <v>4.4296430419037769E-3</v>
      </c>
      <c r="T32" s="6">
        <f t="shared" si="4"/>
        <v>6.8868813925353507E-3</v>
      </c>
      <c r="U32" s="790"/>
      <c r="AC32" s="648"/>
      <c r="AD32" s="736"/>
      <c r="AE32" s="743"/>
      <c r="AF32" s="89" t="s">
        <v>118</v>
      </c>
      <c r="AG32">
        <f>AVERAGE(AM12,AM16)</f>
        <v>62.5</v>
      </c>
      <c r="AH32">
        <f t="shared" si="9"/>
        <v>7.4179573912527448E-3</v>
      </c>
      <c r="AI32">
        <f t="shared" si="5"/>
        <v>9.4347239917141402E-4</v>
      </c>
      <c r="AJ32" s="789"/>
      <c r="AR32" s="648"/>
      <c r="AS32" s="736"/>
      <c r="AT32" s="743"/>
      <c r="AU32" s="89" t="s">
        <v>118</v>
      </c>
      <c r="AV32">
        <f>AVERAGE(BB12,BB16)</f>
        <v>23.5</v>
      </c>
      <c r="AW32">
        <f t="shared" si="10"/>
        <v>2.8946929192731734E-5</v>
      </c>
      <c r="AX32">
        <f t="shared" si="6"/>
        <v>0.25218724201241827</v>
      </c>
      <c r="AY32" s="789"/>
      <c r="BG32" s="648"/>
      <c r="BH32" s="645"/>
      <c r="BI32" s="666"/>
      <c r="BJ32" s="93" t="s">
        <v>125</v>
      </c>
      <c r="BK32">
        <f>AVERAGE(BQ12,BQ16)</f>
        <v>464.5</v>
      </c>
      <c r="BL32">
        <f t="shared" si="7"/>
        <v>3.4671941479435697E-2</v>
      </c>
      <c r="BM32">
        <f t="shared" si="8"/>
        <v>5.3905370333221368E-2</v>
      </c>
      <c r="BN32" s="789"/>
    </row>
    <row r="33" spans="3:66" x14ac:dyDescent="0.25">
      <c r="C33">
        <v>1.2210012209999999E-2</v>
      </c>
      <c r="AC33" s="648"/>
      <c r="AD33" s="736"/>
      <c r="AE33" s="743"/>
      <c r="AF33" s="89" t="s">
        <v>119</v>
      </c>
      <c r="AG33">
        <f>AVERAGE(AN12,AN16)</f>
        <v>54.5</v>
      </c>
      <c r="AH33">
        <f t="shared" si="9"/>
        <v>6.4684588451723937E-3</v>
      </c>
      <c r="AI33">
        <f t="shared" si="5"/>
        <v>8.2270793207747314E-4</v>
      </c>
      <c r="AJ33" s="789"/>
      <c r="AR33" s="648"/>
      <c r="AS33" s="736"/>
      <c r="AT33" s="743"/>
      <c r="AU33" s="89" t="s">
        <v>119</v>
      </c>
      <c r="AV33">
        <f>AVERAGE(BC12,BC16)</f>
        <v>18</v>
      </c>
      <c r="AW33">
        <f t="shared" si="10"/>
        <v>2.217211597741154E-5</v>
      </c>
      <c r="AX33">
        <f t="shared" si="6"/>
        <v>0.19316469600951183</v>
      </c>
      <c r="AY33" s="789"/>
      <c r="BG33" s="648"/>
      <c r="BH33" s="784"/>
      <c r="BI33" s="745"/>
      <c r="BJ33" s="264" t="s">
        <v>126</v>
      </c>
      <c r="BK33" s="257">
        <f>AVERAGE(BR12,BR16)</f>
        <v>619</v>
      </c>
      <c r="BL33" s="162">
        <f t="shared" si="7"/>
        <v>4.6204374113607526E-2</v>
      </c>
      <c r="BM33" s="162">
        <f t="shared" si="8"/>
        <v>7.1835143673334823E-2</v>
      </c>
      <c r="BN33" s="794"/>
    </row>
    <row r="34" spans="3:66" x14ac:dyDescent="0.25">
      <c r="C34">
        <v>836.35728930000005</v>
      </c>
      <c r="AC34" s="648"/>
      <c r="AD34" s="736"/>
      <c r="AE34" s="743"/>
      <c r="AF34" s="89" t="s">
        <v>120</v>
      </c>
      <c r="AG34">
        <f>AVERAGE(AO12,AO16)</f>
        <v>91.5</v>
      </c>
      <c r="AH34">
        <f t="shared" si="9"/>
        <v>1.0859889620794018E-2</v>
      </c>
      <c r="AI34">
        <f t="shared" si="5"/>
        <v>1.3812435923869501E-3</v>
      </c>
      <c r="AJ34" s="789"/>
      <c r="AR34" s="648"/>
      <c r="AS34" s="736"/>
      <c r="AT34" s="743"/>
      <c r="AU34" s="89" t="s">
        <v>120</v>
      </c>
      <c r="AV34">
        <f>AVERAGE(BD12,BD16)</f>
        <v>31.5</v>
      </c>
      <c r="AW34">
        <f t="shared" si="10"/>
        <v>3.8801202960470197E-5</v>
      </c>
      <c r="AX34">
        <f t="shared" si="6"/>
        <v>0.33803821801664574</v>
      </c>
      <c r="AY34" s="789"/>
      <c r="BG34" s="648"/>
      <c r="BH34" s="736" t="s">
        <v>144</v>
      </c>
      <c r="BI34" s="666" t="s">
        <v>154</v>
      </c>
      <c r="BJ34" s="93" t="s">
        <v>122</v>
      </c>
      <c r="BK34">
        <f>AVERAGE(BS12,BS16)</f>
        <v>104.5</v>
      </c>
      <c r="BL34">
        <f>BK34/$BN$21</f>
        <v>8.2834608220046773E-3</v>
      </c>
      <c r="BM34">
        <f t="shared" si="8"/>
        <v>1.2878512255096244E-2</v>
      </c>
      <c r="BN34" s="788">
        <f>AVERAGE(BM34:BM38)</f>
        <v>2.4302800159856263E-2</v>
      </c>
    </row>
    <row r="35" spans="3:66" ht="15.75" thickBot="1" x14ac:dyDescent="0.3">
      <c r="AC35" s="656"/>
      <c r="AD35" s="737"/>
      <c r="AE35" s="749"/>
      <c r="AF35" s="90" t="s">
        <v>121</v>
      </c>
      <c r="AG35" s="6">
        <f>AVERAGE(AP12,AP16)</f>
        <v>462.5</v>
      </c>
      <c r="AH35" s="6">
        <f t="shared" si="9"/>
        <v>5.489288469527031E-2</v>
      </c>
      <c r="AI35" s="6">
        <f t="shared" si="5"/>
        <v>6.9816957538684646E-3</v>
      </c>
      <c r="AJ35" s="790"/>
      <c r="AR35" s="656"/>
      <c r="AS35" s="737"/>
      <c r="AT35" s="749"/>
      <c r="AU35" s="90" t="s">
        <v>121</v>
      </c>
      <c r="AV35" s="6">
        <f>AVERAGE(BE12,BE16)</f>
        <v>378</v>
      </c>
      <c r="AW35" s="6">
        <f t="shared" si="10"/>
        <v>4.6561443552564234E-4</v>
      </c>
      <c r="AX35" s="6">
        <f t="shared" si="6"/>
        <v>4.0564586161997491</v>
      </c>
      <c r="AY35" s="790"/>
      <c r="BG35" s="648"/>
      <c r="BH35" s="736"/>
      <c r="BI35" s="666"/>
      <c r="BJ35" s="93" t="s">
        <v>123</v>
      </c>
      <c r="BK35">
        <f>AVERAGE(BT12,BT16)</f>
        <v>252</v>
      </c>
      <c r="BL35">
        <f t="shared" ref="BL35:BL42" si="11">BK35/$BN$21</f>
        <v>1.9975427054020847E-2</v>
      </c>
      <c r="BM35">
        <f t="shared" ref="BM35:BM42" si="12">$BN$22*BL35/24*0.25*1000</f>
        <v>3.1056316634299079E-2</v>
      </c>
      <c r="BN35" s="789"/>
    </row>
    <row r="36" spans="3:66" x14ac:dyDescent="0.25">
      <c r="BG36" s="648"/>
      <c r="BH36" s="736"/>
      <c r="BI36" s="666"/>
      <c r="BJ36" s="93" t="s">
        <v>124</v>
      </c>
      <c r="BK36">
        <f>AVERAGE(BI13,BI17)</f>
        <v>344</v>
      </c>
      <c r="BL36">
        <f t="shared" si="11"/>
        <v>2.7268043280091952E-2</v>
      </c>
      <c r="BM36">
        <f t="shared" si="12"/>
        <v>4.2394336992852714E-2</v>
      </c>
      <c r="BN36" s="789"/>
    </row>
    <row r="37" spans="3:66" x14ac:dyDescent="0.25">
      <c r="BG37" s="648"/>
      <c r="BH37" s="736"/>
      <c r="BI37" s="666"/>
      <c r="BJ37" s="93" t="s">
        <v>125</v>
      </c>
      <c r="BK37">
        <f>AVERAGE(BJ13,BJ17)</f>
        <v>182</v>
      </c>
      <c r="BL37">
        <f t="shared" si="11"/>
        <v>1.4426697316792834E-2</v>
      </c>
      <c r="BM37">
        <f t="shared" si="12"/>
        <v>2.2429562013660444E-2</v>
      </c>
      <c r="BN37" s="789"/>
    </row>
    <row r="38" spans="3:66" x14ac:dyDescent="0.25">
      <c r="BG38" s="648"/>
      <c r="BH38" s="795"/>
      <c r="BI38" s="745"/>
      <c r="BJ38" s="264" t="s">
        <v>126</v>
      </c>
      <c r="BK38" s="257">
        <f>AVERAGE(BK13,BK17)</f>
        <v>103.5</v>
      </c>
      <c r="BL38" s="162">
        <f t="shared" si="11"/>
        <v>8.2041932543299913E-3</v>
      </c>
      <c r="BM38" s="162">
        <f t="shared" si="12"/>
        <v>1.2755272903372835E-2</v>
      </c>
      <c r="BN38" s="794"/>
    </row>
    <row r="39" spans="3:66" x14ac:dyDescent="0.25">
      <c r="BG39" s="648"/>
      <c r="BH39" s="645" t="s">
        <v>149</v>
      </c>
      <c r="BI39" s="666" t="s">
        <v>153</v>
      </c>
      <c r="BJ39" s="93" t="s">
        <v>122</v>
      </c>
      <c r="BK39">
        <f>AVERAGE(BL13,BL17)</f>
        <v>273</v>
      </c>
      <c r="BL39">
        <f t="shared" si="11"/>
        <v>2.1640045975189252E-2</v>
      </c>
      <c r="BM39">
        <f t="shared" si="12"/>
        <v>3.3644343020490665E-2</v>
      </c>
      <c r="BN39" s="788">
        <f>AVERAGE(BM39:BM42)</f>
        <v>2.3523311260205699E-2</v>
      </c>
    </row>
    <row r="40" spans="3:66" x14ac:dyDescent="0.25">
      <c r="BG40" s="648"/>
      <c r="BH40" s="645"/>
      <c r="BI40" s="666"/>
      <c r="BJ40" s="93" t="s">
        <v>124</v>
      </c>
      <c r="BK40">
        <f>AVERAGE(BM13,BM17)</f>
        <v>196.5</v>
      </c>
      <c r="BL40">
        <f t="shared" si="11"/>
        <v>1.557607704807578E-2</v>
      </c>
      <c r="BM40">
        <f t="shared" si="12"/>
        <v>2.4216532613649876E-2</v>
      </c>
      <c r="BN40" s="789"/>
    </row>
    <row r="41" spans="3:66" x14ac:dyDescent="0.25">
      <c r="BG41" s="648"/>
      <c r="BH41" s="645"/>
      <c r="BI41" s="666"/>
      <c r="BJ41" s="93" t="s">
        <v>125</v>
      </c>
      <c r="BK41">
        <f>AVERAGE(BN13,BN17)</f>
        <v>164.5</v>
      </c>
      <c r="BL41">
        <f t="shared" si="11"/>
        <v>1.3039514882485831E-2</v>
      </c>
      <c r="BM41">
        <f t="shared" si="12"/>
        <v>2.0272873358500785E-2</v>
      </c>
      <c r="BN41" s="789"/>
    </row>
    <row r="42" spans="3:66" ht="15.75" thickBot="1" x14ac:dyDescent="0.3">
      <c r="BG42" s="656"/>
      <c r="BH42" s="646"/>
      <c r="BI42" s="683"/>
      <c r="BJ42" s="94" t="s">
        <v>126</v>
      </c>
      <c r="BK42" s="6">
        <f>AVERAGE(BO13,BO17)</f>
        <v>129.5</v>
      </c>
      <c r="BL42" s="6">
        <f t="shared" si="11"/>
        <v>1.0265150013871824E-2</v>
      </c>
      <c r="BM42" s="6">
        <f t="shared" si="12"/>
        <v>1.5959496048181473E-2</v>
      </c>
      <c r="BN42" s="790"/>
    </row>
    <row r="48" spans="3:66" ht="15.75" thickBot="1" x14ac:dyDescent="0.3"/>
    <row r="49" spans="29:39" x14ac:dyDescent="0.25">
      <c r="AC49" s="259" t="s">
        <v>10</v>
      </c>
      <c r="AD49" s="211" t="s">
        <v>8</v>
      </c>
      <c r="AE49" s="342" t="s">
        <v>56</v>
      </c>
      <c r="AF49" s="259" t="s">
        <v>155</v>
      </c>
      <c r="AG49" s="210" t="s">
        <v>156</v>
      </c>
      <c r="AH49" s="210" t="s">
        <v>157</v>
      </c>
      <c r="AI49" s="266" t="s">
        <v>2</v>
      </c>
      <c r="AJ49" s="259" t="s">
        <v>158</v>
      </c>
      <c r="AK49" s="210" t="s">
        <v>159</v>
      </c>
      <c r="AL49" s="210" t="s">
        <v>160</v>
      </c>
      <c r="AM49" s="344" t="s">
        <v>2</v>
      </c>
    </row>
    <row r="50" spans="29:39" x14ac:dyDescent="0.25">
      <c r="AC50" s="645" t="s">
        <v>94</v>
      </c>
      <c r="AD50" s="748" t="s">
        <v>151</v>
      </c>
      <c r="AE50" s="89" t="s">
        <v>117</v>
      </c>
      <c r="AF50" s="80">
        <v>7</v>
      </c>
      <c r="AG50">
        <v>5.2250503844144202E-4</v>
      </c>
      <c r="AH50" s="255">
        <v>6.6456176032880495E-8</v>
      </c>
      <c r="AI50" s="787">
        <f>AVERAGE(AH50:AH54)</f>
        <v>4.6281979737184626E-8</v>
      </c>
      <c r="AJ50" s="80">
        <v>12</v>
      </c>
      <c r="AK50">
        <v>0.11267605633802801</v>
      </c>
      <c r="AL50">
        <v>0.98164001091549302</v>
      </c>
      <c r="AM50" s="789">
        <f>AVERAGE(AL50:AL54)</f>
        <v>0.85074700736795772</v>
      </c>
    </row>
    <row r="51" spans="29:39" x14ac:dyDescent="0.25">
      <c r="AC51" s="645"/>
      <c r="AD51" s="743"/>
      <c r="AE51" s="89" t="s">
        <v>118</v>
      </c>
      <c r="AF51" s="80">
        <v>1.5</v>
      </c>
      <c r="AG51">
        <v>1.1196536538030901E-4</v>
      </c>
      <c r="AH51" s="255">
        <v>1.4240609149903E-8</v>
      </c>
      <c r="AI51" s="785"/>
      <c r="AJ51" s="80">
        <v>11</v>
      </c>
      <c r="AK51">
        <v>0.10328638497652599</v>
      </c>
      <c r="AL51">
        <v>0.89983667667253497</v>
      </c>
      <c r="AM51" s="789"/>
    </row>
    <row r="52" spans="29:39" x14ac:dyDescent="0.25">
      <c r="AC52" s="645"/>
      <c r="AD52" s="743"/>
      <c r="AE52" s="89" t="s">
        <v>119</v>
      </c>
      <c r="AF52" s="80">
        <v>3.5</v>
      </c>
      <c r="AG52">
        <v>2.6125251922072101E-4</v>
      </c>
      <c r="AH52" s="255">
        <v>3.3228088016440201E-8</v>
      </c>
      <c r="AI52" s="785"/>
      <c r="AJ52" s="80">
        <v>9</v>
      </c>
      <c r="AK52">
        <v>8.4507042253521097E-2</v>
      </c>
      <c r="AL52">
        <v>0.73623000818661999</v>
      </c>
      <c r="AM52" s="789"/>
    </row>
    <row r="53" spans="29:39" x14ac:dyDescent="0.25">
      <c r="AC53" s="645"/>
      <c r="AD53" s="743"/>
      <c r="AE53" s="89" t="s">
        <v>120</v>
      </c>
      <c r="AF53" s="80"/>
      <c r="AH53" s="255"/>
      <c r="AI53" s="785"/>
      <c r="AJ53" s="80">
        <v>11.5</v>
      </c>
      <c r="AK53">
        <v>0.108</v>
      </c>
      <c r="AL53">
        <v>0.94069999999999998</v>
      </c>
      <c r="AM53" s="789"/>
    </row>
    <row r="54" spans="29:39" x14ac:dyDescent="0.25">
      <c r="AC54" s="784"/>
      <c r="AD54" s="744"/>
      <c r="AE54" s="343" t="s">
        <v>121</v>
      </c>
      <c r="AF54" s="257">
        <v>7.5</v>
      </c>
      <c r="AG54" s="162">
        <v>5.5982682690154499E-4</v>
      </c>
      <c r="AH54" s="258">
        <v>7.1203045749514795E-8</v>
      </c>
      <c r="AI54" s="786"/>
      <c r="AJ54" s="257">
        <v>8.5</v>
      </c>
      <c r="AK54" s="162">
        <v>7.9812206572769995E-2</v>
      </c>
      <c r="AL54" s="162">
        <v>0.69532834106514096</v>
      </c>
      <c r="AM54" s="794"/>
    </row>
    <row r="55" spans="29:39" x14ac:dyDescent="0.25">
      <c r="AC55" s="796" t="s">
        <v>144</v>
      </c>
      <c r="AD55" s="743" t="s">
        <v>154</v>
      </c>
      <c r="AE55" s="89" t="s">
        <v>46</v>
      </c>
      <c r="AF55" s="80">
        <v>123.5</v>
      </c>
      <c r="AG55">
        <v>9.7895446078237105E-3</v>
      </c>
      <c r="AH55" s="255">
        <v>1.24510894991528E-6</v>
      </c>
      <c r="AI55" s="787">
        <f>AVERAGE(AH55:AH56)</f>
        <v>1.2098224614561449E-6</v>
      </c>
      <c r="AJ55" s="80">
        <v>197</v>
      </c>
      <c r="AK55">
        <v>43.7777777777778</v>
      </c>
      <c r="AL55">
        <v>381.39441201875002</v>
      </c>
      <c r="AM55" s="789">
        <f>AVERAGE(AL55:AL56)</f>
        <v>353.32223448437503</v>
      </c>
    </row>
    <row r="56" spans="29:39" x14ac:dyDescent="0.25">
      <c r="AC56" s="797"/>
      <c r="AD56" s="744"/>
      <c r="AE56" s="343" t="s">
        <v>44</v>
      </c>
      <c r="AF56" s="257">
        <v>116.5</v>
      </c>
      <c r="AG56" s="162">
        <v>9.2346716341009105E-3</v>
      </c>
      <c r="AH56" s="258">
        <v>1.1745359729970101E-6</v>
      </c>
      <c r="AI56" s="786"/>
      <c r="AJ56" s="257">
        <v>168</v>
      </c>
      <c r="AK56" s="162">
        <v>37.3333333333333</v>
      </c>
      <c r="AL56" s="162">
        <v>325.25005694999999</v>
      </c>
      <c r="AM56" s="794"/>
    </row>
    <row r="57" spans="29:39" x14ac:dyDescent="0.25">
      <c r="AC57" s="736" t="s">
        <v>149</v>
      </c>
      <c r="AD57" s="743" t="s">
        <v>153</v>
      </c>
      <c r="AE57" s="89" t="s">
        <v>117</v>
      </c>
      <c r="AF57" s="80">
        <v>386.5</v>
      </c>
      <c r="AG57">
        <v>3.0636914906266102E-2</v>
      </c>
      <c r="AH57" s="255">
        <v>3.89663651127333E-6</v>
      </c>
      <c r="AI57" s="787">
        <f>AVERAGE(AH57:AH61)</f>
        <v>2.1323120883164546E-6</v>
      </c>
      <c r="AJ57" s="80">
        <v>224</v>
      </c>
      <c r="AK57">
        <v>49.7777777777778</v>
      </c>
      <c r="AL57">
        <v>433.66674260000002</v>
      </c>
      <c r="AM57" s="789">
        <f>AVERAGE(AL57:AL61)</f>
        <v>261.36165290625001</v>
      </c>
    </row>
    <row r="58" spans="29:39" x14ac:dyDescent="0.25">
      <c r="AC58" s="736"/>
      <c r="AD58" s="743"/>
      <c r="AE58" s="89" t="s">
        <v>118</v>
      </c>
      <c r="AF58" s="80">
        <v>62.5</v>
      </c>
      <c r="AG58">
        <v>4.9542229796678697E-3</v>
      </c>
      <c r="AH58" s="255">
        <v>6.3011586534174197E-7</v>
      </c>
      <c r="AI58" s="785"/>
      <c r="AJ58" s="80">
        <v>23.5</v>
      </c>
      <c r="AK58">
        <v>5.2222222222222197</v>
      </c>
      <c r="AL58">
        <v>45.496287728124997</v>
      </c>
      <c r="AM58" s="789"/>
    </row>
    <row r="59" spans="29:39" x14ac:dyDescent="0.25">
      <c r="AC59" s="736"/>
      <c r="AD59" s="743"/>
      <c r="AE59" s="89" t="s">
        <v>119</v>
      </c>
      <c r="AF59" s="80">
        <v>54.5</v>
      </c>
      <c r="AG59">
        <v>4.3200824382703803E-3</v>
      </c>
      <c r="AH59" s="255">
        <v>5.4946103457799897E-7</v>
      </c>
      <c r="AI59" s="785"/>
      <c r="AJ59" s="80">
        <v>18</v>
      </c>
      <c r="AK59">
        <v>4</v>
      </c>
      <c r="AL59">
        <v>34.8482203875</v>
      </c>
      <c r="AM59" s="789"/>
    </row>
    <row r="60" spans="29:39" x14ac:dyDescent="0.25">
      <c r="AC60" s="736"/>
      <c r="AD60" s="743"/>
      <c r="AE60" s="89" t="s">
        <v>120</v>
      </c>
      <c r="AF60" s="80">
        <v>91.5</v>
      </c>
      <c r="AG60">
        <v>7.2529824422337599E-3</v>
      </c>
      <c r="AH60" s="255">
        <v>9.2248962686031105E-7</v>
      </c>
      <c r="AI60" s="785"/>
      <c r="AJ60" s="80">
        <v>31.5</v>
      </c>
      <c r="AK60">
        <v>7</v>
      </c>
      <c r="AL60">
        <v>60.984385678125001</v>
      </c>
      <c r="AM60" s="789"/>
    </row>
    <row r="61" spans="29:39" ht="15.75" thickBot="1" x14ac:dyDescent="0.3">
      <c r="AC61" s="737"/>
      <c r="AD61" s="749"/>
      <c r="AE61" s="90" t="s">
        <v>121</v>
      </c>
      <c r="AF61" s="81">
        <v>462.5</v>
      </c>
      <c r="AG61" s="6">
        <v>3.6661250049542203E-2</v>
      </c>
      <c r="AH61" s="256">
        <v>4.6628574035288904E-6</v>
      </c>
      <c r="AI61" s="798"/>
      <c r="AJ61" s="81">
        <v>378</v>
      </c>
      <c r="AK61" s="6">
        <v>84</v>
      </c>
      <c r="AL61" s="6">
        <v>731.81262813750004</v>
      </c>
      <c r="AM61" s="790"/>
    </row>
  </sheetData>
  <mergeCells count="127">
    <mergeCell ref="CH1:CR1"/>
    <mergeCell ref="CH3:CH11"/>
    <mergeCell ref="CI3:CI6"/>
    <mergeCell ref="CI7:CI11"/>
    <mergeCell ref="CH12:CH19"/>
    <mergeCell ref="CI12:CI19"/>
    <mergeCell ref="CR3:CR6"/>
    <mergeCell ref="CR7:CR11"/>
    <mergeCell ref="CR12:CR19"/>
    <mergeCell ref="CN12:CN19"/>
    <mergeCell ref="CN7:CN11"/>
    <mergeCell ref="CN3:CN6"/>
    <mergeCell ref="BV1:CF1"/>
    <mergeCell ref="AY24:AY28"/>
    <mergeCell ref="AR23:AR35"/>
    <mergeCell ref="AS24:AS28"/>
    <mergeCell ref="AT24:AT28"/>
    <mergeCell ref="AR1:BE1"/>
    <mergeCell ref="AR2:AR10"/>
    <mergeCell ref="AR11:AR19"/>
    <mergeCell ref="AR20:AR22"/>
    <mergeCell ref="AS20:AX20"/>
    <mergeCell ref="AY20:BE20"/>
    <mergeCell ref="AS21:AX21"/>
    <mergeCell ref="AY21:BE21"/>
    <mergeCell ref="AS22:AX22"/>
    <mergeCell ref="AY22:BE22"/>
    <mergeCell ref="BG2:BG10"/>
    <mergeCell ref="BG11:BG19"/>
    <mergeCell ref="BG20:BG22"/>
    <mergeCell ref="AY31:AY35"/>
    <mergeCell ref="AY29:AY30"/>
    <mergeCell ref="BH22:BM22"/>
    <mergeCell ref="BN22:BT22"/>
    <mergeCell ref="BH20:BM20"/>
    <mergeCell ref="BN20:BT20"/>
    <mergeCell ref="B1:L1"/>
    <mergeCell ref="P24:P28"/>
    <mergeCell ref="P29:P32"/>
    <mergeCell ref="O24:O28"/>
    <mergeCell ref="O29:O32"/>
    <mergeCell ref="O21:T21"/>
    <mergeCell ref="B3:B8"/>
    <mergeCell ref="B18:B22"/>
    <mergeCell ref="B13:B17"/>
    <mergeCell ref="B9:B12"/>
    <mergeCell ref="N11:N19"/>
    <mergeCell ref="N2:N10"/>
    <mergeCell ref="L3:L8"/>
    <mergeCell ref="L9:L12"/>
    <mergeCell ref="L13:L17"/>
    <mergeCell ref="N1:AA1"/>
    <mergeCell ref="N23:N32"/>
    <mergeCell ref="O22:T22"/>
    <mergeCell ref="U22:AA22"/>
    <mergeCell ref="N20:N22"/>
    <mergeCell ref="U29:U32"/>
    <mergeCell ref="U24:U28"/>
    <mergeCell ref="O20:T20"/>
    <mergeCell ref="U21:AA21"/>
    <mergeCell ref="H18:H22"/>
    <mergeCell ref="H13:H17"/>
    <mergeCell ref="H9:H12"/>
    <mergeCell ref="L18:L22"/>
    <mergeCell ref="AC2:AC10"/>
    <mergeCell ref="AC11:AC19"/>
    <mergeCell ref="AC20:AC22"/>
    <mergeCell ref="H3:H8"/>
    <mergeCell ref="U20:AA20"/>
    <mergeCell ref="AC1:AP1"/>
    <mergeCell ref="AI57:AI61"/>
    <mergeCell ref="AI55:AI56"/>
    <mergeCell ref="AI50:AI54"/>
    <mergeCell ref="AM50:AM54"/>
    <mergeCell ref="AM55:AM56"/>
    <mergeCell ref="AM57:AM61"/>
    <mergeCell ref="AC57:AC61"/>
    <mergeCell ref="AD57:AD61"/>
    <mergeCell ref="AE29:AE30"/>
    <mergeCell ref="AC50:AC54"/>
    <mergeCell ref="AD50:AD54"/>
    <mergeCell ref="AC55:AC56"/>
    <mergeCell ref="AD55:AD56"/>
    <mergeCell ref="AJ20:AP20"/>
    <mergeCell ref="AJ21:AP21"/>
    <mergeCell ref="AJ22:AP22"/>
    <mergeCell ref="AD31:AD35"/>
    <mergeCell ref="AE31:AE35"/>
    <mergeCell ref="AC23:AC35"/>
    <mergeCell ref="AJ24:AJ28"/>
    <mergeCell ref="AJ31:AJ35"/>
    <mergeCell ref="AJ29:AJ30"/>
    <mergeCell ref="AD24:AD28"/>
    <mergeCell ref="AE24:AE28"/>
    <mergeCell ref="AD29:AD30"/>
    <mergeCell ref="AD20:AI20"/>
    <mergeCell ref="AD21:AI21"/>
    <mergeCell ref="AD22:AI22"/>
    <mergeCell ref="AS29:AS30"/>
    <mergeCell ref="AT29:AT30"/>
    <mergeCell ref="AS31:AS35"/>
    <mergeCell ref="AT31:AT35"/>
    <mergeCell ref="BH21:BM21"/>
    <mergeCell ref="BN21:BT21"/>
    <mergeCell ref="BG23:BG42"/>
    <mergeCell ref="BN29:BN33"/>
    <mergeCell ref="BN24:BN28"/>
    <mergeCell ref="BI24:BI28"/>
    <mergeCell ref="BI39:BI42"/>
    <mergeCell ref="BH39:BH42"/>
    <mergeCell ref="BH34:BH38"/>
    <mergeCell ref="BI34:BI38"/>
    <mergeCell ref="BI29:BI33"/>
    <mergeCell ref="BH29:BH33"/>
    <mergeCell ref="BH24:BH28"/>
    <mergeCell ref="BN39:BN42"/>
    <mergeCell ref="BN34:BN38"/>
    <mergeCell ref="BV3:BV16"/>
    <mergeCell ref="BW3:BW7"/>
    <mergeCell ref="BW14:BW16"/>
    <mergeCell ref="BW8:BW12"/>
    <mergeCell ref="CB3:CB7"/>
    <mergeCell ref="CB8:CB12"/>
    <mergeCell ref="CF3:CF7"/>
    <mergeCell ref="CF8:CF12"/>
    <mergeCell ref="CB14:CB16"/>
    <mergeCell ref="CF14:CF16"/>
  </mergeCells>
  <hyperlinks>
    <hyperlink ref="A1" location="'Table of Contents'!A1" display="Table of Contents" xr:uid="{D91ADF1E-E60E-4C2F-B68F-7D57D9A50D9A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310E-B74D-4559-9ACA-61A6E7893845}">
  <dimension ref="A1:AT92"/>
  <sheetViews>
    <sheetView zoomScale="85" zoomScaleNormal="85" workbookViewId="0">
      <selection activeCell="Z40" sqref="Z40"/>
    </sheetView>
  </sheetViews>
  <sheetFormatPr defaultRowHeight="15" x14ac:dyDescent="0.25"/>
  <cols>
    <col min="2" max="2" width="11.85546875" customWidth="1"/>
    <col min="3" max="3" width="10.42578125" customWidth="1"/>
    <col min="7" max="7" width="11.28515625" customWidth="1"/>
    <col min="9" max="9" width="11.42578125" customWidth="1"/>
    <col min="16" max="16" width="11.140625" customWidth="1"/>
    <col min="22" max="22" width="10.85546875" customWidth="1"/>
    <col min="43" max="43" width="12.28515625" bestFit="1" customWidth="1"/>
  </cols>
  <sheetData>
    <row r="1" spans="1:28" ht="15.75" thickBot="1" x14ac:dyDescent="0.3">
      <c r="A1" s="1" t="s">
        <v>9</v>
      </c>
    </row>
    <row r="2" spans="1:28" x14ac:dyDescent="0.25">
      <c r="B2" s="647" t="s">
        <v>486</v>
      </c>
      <c r="C2" s="126"/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20">
        <v>12</v>
      </c>
      <c r="P2" s="407"/>
      <c r="Q2" s="19">
        <v>1</v>
      </c>
      <c r="R2" s="19">
        <v>2</v>
      </c>
      <c r="S2" s="19">
        <v>3</v>
      </c>
      <c r="T2" s="19">
        <v>4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20">
        <v>12</v>
      </c>
    </row>
    <row r="3" spans="1:28" x14ac:dyDescent="0.25">
      <c r="B3" s="648"/>
      <c r="C3" s="125" t="s">
        <v>13</v>
      </c>
      <c r="D3" s="12">
        <v>8209</v>
      </c>
      <c r="E3" s="12">
        <v>8384</v>
      </c>
      <c r="F3" s="12">
        <v>22347</v>
      </c>
      <c r="G3" s="12">
        <v>22895</v>
      </c>
      <c r="H3" s="12">
        <v>18593</v>
      </c>
      <c r="I3" s="12">
        <v>20287</v>
      </c>
      <c r="J3" s="12">
        <v>24870</v>
      </c>
      <c r="K3" s="12">
        <v>24741</v>
      </c>
      <c r="L3" s="12">
        <v>29190</v>
      </c>
      <c r="M3" s="12">
        <v>29274</v>
      </c>
      <c r="N3" s="12">
        <v>23832</v>
      </c>
      <c r="O3" s="21">
        <v>24069</v>
      </c>
      <c r="P3" s="408" t="s">
        <v>13</v>
      </c>
      <c r="Q3" s="12">
        <v>8859</v>
      </c>
      <c r="R3" s="12">
        <v>10353</v>
      </c>
      <c r="S3" s="12">
        <v>23298</v>
      </c>
      <c r="T3" s="12">
        <v>22553</v>
      </c>
      <c r="U3" s="12">
        <v>20326</v>
      </c>
      <c r="V3" s="12">
        <v>20056</v>
      </c>
      <c r="W3" s="12">
        <v>24997</v>
      </c>
      <c r="X3" s="12">
        <v>25236</v>
      </c>
      <c r="Y3" s="12">
        <v>20747</v>
      </c>
      <c r="Z3" s="12">
        <v>21312</v>
      </c>
      <c r="AA3" s="12">
        <v>23584</v>
      </c>
      <c r="AB3" s="21">
        <v>24075</v>
      </c>
    </row>
    <row r="4" spans="1:28" x14ac:dyDescent="0.25">
      <c r="B4" s="648"/>
      <c r="C4" s="125" t="s">
        <v>14</v>
      </c>
      <c r="D4" s="12">
        <v>17401</v>
      </c>
      <c r="E4" s="12">
        <v>18319</v>
      </c>
      <c r="F4" s="12">
        <v>17525</v>
      </c>
      <c r="G4" s="12">
        <v>17905</v>
      </c>
      <c r="H4" s="12">
        <v>17119</v>
      </c>
      <c r="I4" s="12">
        <v>17870</v>
      </c>
      <c r="J4" s="12">
        <v>15335</v>
      </c>
      <c r="K4" s="12">
        <v>15914</v>
      </c>
      <c r="L4" s="12">
        <v>26192</v>
      </c>
      <c r="M4" s="12">
        <v>25692</v>
      </c>
      <c r="N4" s="12">
        <v>24521</v>
      </c>
      <c r="O4" s="21">
        <v>24422</v>
      </c>
      <c r="P4" s="408" t="s">
        <v>14</v>
      </c>
      <c r="Q4" s="12">
        <v>17743</v>
      </c>
      <c r="R4" s="12">
        <v>21795</v>
      </c>
      <c r="S4" s="12">
        <v>18406</v>
      </c>
      <c r="T4" s="12">
        <v>19176</v>
      </c>
      <c r="U4" s="12">
        <v>13886</v>
      </c>
      <c r="V4" s="12">
        <v>13969</v>
      </c>
      <c r="W4" s="12">
        <v>19322</v>
      </c>
      <c r="X4" s="12">
        <v>19388</v>
      </c>
      <c r="Y4" s="12">
        <v>22225</v>
      </c>
      <c r="Z4" s="12">
        <v>22764</v>
      </c>
      <c r="AA4" s="12">
        <v>25027</v>
      </c>
      <c r="AB4" s="21">
        <v>25272</v>
      </c>
    </row>
    <row r="5" spans="1:28" x14ac:dyDescent="0.25">
      <c r="B5" s="648"/>
      <c r="C5" s="125" t="s">
        <v>15</v>
      </c>
      <c r="D5" s="12">
        <v>28080</v>
      </c>
      <c r="E5" s="12">
        <v>28449</v>
      </c>
      <c r="F5" s="12">
        <v>17486</v>
      </c>
      <c r="G5" s="12">
        <v>18408</v>
      </c>
      <c r="H5" s="12">
        <v>22767</v>
      </c>
      <c r="I5" s="12">
        <v>23318</v>
      </c>
      <c r="J5" s="12">
        <v>23637</v>
      </c>
      <c r="K5" s="12">
        <v>23589</v>
      </c>
      <c r="L5" s="12">
        <v>28973</v>
      </c>
      <c r="M5" s="12">
        <v>28371</v>
      </c>
      <c r="N5" s="12">
        <v>23863</v>
      </c>
      <c r="O5" s="21">
        <v>22782</v>
      </c>
      <c r="P5" s="408" t="s">
        <v>15</v>
      </c>
      <c r="Q5" s="12">
        <v>34493</v>
      </c>
      <c r="R5" s="12">
        <v>34817</v>
      </c>
      <c r="S5" s="12">
        <v>17793</v>
      </c>
      <c r="T5" s="12">
        <v>18243</v>
      </c>
      <c r="U5" s="12">
        <v>31199</v>
      </c>
      <c r="V5" s="12">
        <v>31578</v>
      </c>
      <c r="W5" s="12">
        <v>23095</v>
      </c>
      <c r="X5" s="12">
        <v>22881</v>
      </c>
      <c r="Y5" s="12">
        <v>20624</v>
      </c>
      <c r="Z5" s="12">
        <v>21409</v>
      </c>
      <c r="AA5" s="12">
        <v>23463</v>
      </c>
      <c r="AB5" s="21">
        <v>23522</v>
      </c>
    </row>
    <row r="6" spans="1:28" x14ac:dyDescent="0.25">
      <c r="B6" s="648"/>
      <c r="C6" s="125" t="s">
        <v>16</v>
      </c>
      <c r="D6" s="12">
        <v>45943</v>
      </c>
      <c r="E6" s="12">
        <v>50660</v>
      </c>
      <c r="F6" s="12">
        <v>19170</v>
      </c>
      <c r="G6" s="12">
        <v>21160</v>
      </c>
      <c r="H6" s="12">
        <v>26971</v>
      </c>
      <c r="I6" s="12">
        <v>27433</v>
      </c>
      <c r="J6" s="12">
        <v>21919</v>
      </c>
      <c r="K6" s="12">
        <v>23368</v>
      </c>
      <c r="L6" s="12">
        <v>25408</v>
      </c>
      <c r="M6" s="12">
        <v>24478</v>
      </c>
      <c r="N6" s="12">
        <v>39606</v>
      </c>
      <c r="O6" s="21">
        <v>39964</v>
      </c>
      <c r="P6" s="408" t="s">
        <v>16</v>
      </c>
      <c r="Q6" s="12">
        <v>59790</v>
      </c>
      <c r="R6" s="12">
        <v>59860</v>
      </c>
      <c r="S6" s="12">
        <v>19344</v>
      </c>
      <c r="T6" s="12">
        <v>20340</v>
      </c>
      <c r="U6" s="12">
        <v>22359</v>
      </c>
      <c r="V6" s="12">
        <v>22904</v>
      </c>
      <c r="W6" s="12">
        <v>19771</v>
      </c>
      <c r="X6" s="12">
        <v>20540</v>
      </c>
      <c r="Y6" s="12">
        <v>28131</v>
      </c>
      <c r="Z6" s="12">
        <v>28405</v>
      </c>
      <c r="AA6" s="12">
        <v>26867</v>
      </c>
      <c r="AB6" s="21">
        <v>26597</v>
      </c>
    </row>
    <row r="7" spans="1:28" x14ac:dyDescent="0.25">
      <c r="B7" s="648"/>
      <c r="C7" s="125" t="s">
        <v>17</v>
      </c>
      <c r="D7" s="13">
        <v>93430</v>
      </c>
      <c r="E7" s="13">
        <v>93236</v>
      </c>
      <c r="F7" s="12">
        <v>19880</v>
      </c>
      <c r="G7" s="12">
        <v>21208</v>
      </c>
      <c r="H7" s="12">
        <v>21893</v>
      </c>
      <c r="I7" s="12">
        <v>23505</v>
      </c>
      <c r="J7" s="12">
        <v>22344</v>
      </c>
      <c r="K7" s="12">
        <v>23262</v>
      </c>
      <c r="L7" s="12">
        <v>27419</v>
      </c>
      <c r="M7" s="12">
        <v>27433</v>
      </c>
      <c r="N7" s="12">
        <v>22239</v>
      </c>
      <c r="O7" s="21">
        <v>22562</v>
      </c>
      <c r="P7" s="408" t="s">
        <v>17</v>
      </c>
      <c r="Q7" s="13">
        <v>107275</v>
      </c>
      <c r="R7" s="13">
        <v>108348</v>
      </c>
      <c r="S7" s="12">
        <v>22038</v>
      </c>
      <c r="T7" s="12">
        <v>23104</v>
      </c>
      <c r="U7" s="12">
        <v>20604</v>
      </c>
      <c r="V7" s="12">
        <v>20792</v>
      </c>
      <c r="W7" s="12">
        <v>22328</v>
      </c>
      <c r="X7" s="12">
        <v>22596</v>
      </c>
      <c r="Y7" s="12">
        <v>20551</v>
      </c>
      <c r="Z7" s="12">
        <v>22711</v>
      </c>
      <c r="AA7" s="12">
        <v>24181</v>
      </c>
      <c r="AB7" s="21">
        <v>24657</v>
      </c>
    </row>
    <row r="8" spans="1:28" x14ac:dyDescent="0.25">
      <c r="B8" s="648"/>
      <c r="C8" s="125" t="s">
        <v>18</v>
      </c>
      <c r="D8" s="108">
        <v>160121</v>
      </c>
      <c r="E8" s="108">
        <v>169580</v>
      </c>
      <c r="F8" s="12">
        <v>20838</v>
      </c>
      <c r="G8" s="12">
        <v>21212</v>
      </c>
      <c r="H8" s="12">
        <v>16323</v>
      </c>
      <c r="I8" s="12">
        <v>16582</v>
      </c>
      <c r="J8" s="12">
        <v>26167</v>
      </c>
      <c r="K8" s="12">
        <v>27106</v>
      </c>
      <c r="L8" s="12">
        <v>27031</v>
      </c>
      <c r="M8" s="12">
        <v>26601</v>
      </c>
      <c r="N8" s="12">
        <v>26797</v>
      </c>
      <c r="O8" s="21">
        <v>26336</v>
      </c>
      <c r="P8" s="408" t="s">
        <v>18</v>
      </c>
      <c r="Q8" s="108">
        <v>200423</v>
      </c>
      <c r="R8" s="108">
        <v>198408</v>
      </c>
      <c r="S8" s="12">
        <v>22779</v>
      </c>
      <c r="T8" s="12">
        <v>24923</v>
      </c>
      <c r="U8" s="107">
        <v>156229</v>
      </c>
      <c r="V8" s="107">
        <v>159969</v>
      </c>
      <c r="W8" s="12">
        <v>17711</v>
      </c>
      <c r="X8" s="12">
        <v>18538</v>
      </c>
      <c r="Y8" s="12">
        <v>17716</v>
      </c>
      <c r="Z8" s="12">
        <v>17315</v>
      </c>
      <c r="AA8" s="12">
        <v>23819</v>
      </c>
      <c r="AB8" s="21">
        <v>31713</v>
      </c>
    </row>
    <row r="9" spans="1:28" x14ac:dyDescent="0.25">
      <c r="B9" s="648"/>
      <c r="C9" s="125" t="s">
        <v>19</v>
      </c>
      <c r="D9" s="26">
        <v>321681</v>
      </c>
      <c r="E9" s="26">
        <v>319664</v>
      </c>
      <c r="F9" s="12">
        <v>22221</v>
      </c>
      <c r="G9" s="12">
        <v>22369</v>
      </c>
      <c r="H9" s="12">
        <v>28777</v>
      </c>
      <c r="I9" s="12">
        <v>28420</v>
      </c>
      <c r="J9" s="12">
        <v>25192</v>
      </c>
      <c r="K9" s="12">
        <v>25104</v>
      </c>
      <c r="L9" s="12">
        <v>24488</v>
      </c>
      <c r="M9" s="12">
        <v>24300</v>
      </c>
      <c r="N9" s="12">
        <v>21359</v>
      </c>
      <c r="O9" s="21">
        <v>22780</v>
      </c>
      <c r="P9" s="408" t="s">
        <v>19</v>
      </c>
      <c r="Q9" s="14">
        <v>391876</v>
      </c>
      <c r="R9" s="14">
        <v>389573</v>
      </c>
      <c r="S9" s="12">
        <v>22769</v>
      </c>
      <c r="T9" s="12">
        <v>23860</v>
      </c>
      <c r="U9" s="12">
        <v>20714</v>
      </c>
      <c r="V9" s="12">
        <v>21276</v>
      </c>
      <c r="W9" s="12">
        <v>19660</v>
      </c>
      <c r="X9" s="12">
        <v>20982</v>
      </c>
      <c r="Y9" s="12">
        <v>23463</v>
      </c>
      <c r="Z9" s="12">
        <v>24018</v>
      </c>
      <c r="AA9" s="12">
        <v>52807</v>
      </c>
      <c r="AB9" s="21">
        <v>53388</v>
      </c>
    </row>
    <row r="10" spans="1:28" ht="15.75" thickBot="1" x14ac:dyDescent="0.3">
      <c r="B10" s="656"/>
      <c r="C10" s="128" t="s">
        <v>20</v>
      </c>
      <c r="D10" s="155">
        <v>620887</v>
      </c>
      <c r="E10" s="156">
        <v>689653</v>
      </c>
      <c r="F10" s="24">
        <v>19956</v>
      </c>
      <c r="G10" s="24">
        <v>19517</v>
      </c>
      <c r="H10" s="24">
        <v>16696</v>
      </c>
      <c r="I10" s="24">
        <v>17799</v>
      </c>
      <c r="J10" s="24">
        <v>25669</v>
      </c>
      <c r="K10" s="24">
        <v>24335</v>
      </c>
      <c r="L10" s="24">
        <v>22534</v>
      </c>
      <c r="M10" s="24">
        <v>22905</v>
      </c>
      <c r="N10" s="24">
        <v>24617</v>
      </c>
      <c r="O10" s="25">
        <v>24206</v>
      </c>
      <c r="P10" s="409" t="s">
        <v>20</v>
      </c>
      <c r="Q10" s="156">
        <v>738294</v>
      </c>
      <c r="R10" s="156">
        <v>730243</v>
      </c>
      <c r="S10" s="24">
        <v>18563</v>
      </c>
      <c r="T10" s="24">
        <v>19446</v>
      </c>
      <c r="U10" s="24">
        <v>18711</v>
      </c>
      <c r="V10" s="24">
        <v>18474</v>
      </c>
      <c r="W10" s="24">
        <v>29743</v>
      </c>
      <c r="X10" s="24">
        <v>30551</v>
      </c>
      <c r="Y10" s="24">
        <v>24271</v>
      </c>
      <c r="Z10" s="24">
        <v>23886</v>
      </c>
      <c r="AA10" s="24">
        <v>24606</v>
      </c>
      <c r="AB10" s="25">
        <v>14979</v>
      </c>
    </row>
    <row r="11" spans="1:28" x14ac:dyDescent="0.25">
      <c r="B11" s="689" t="s">
        <v>89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375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8" x14ac:dyDescent="0.25">
      <c r="B12" s="690"/>
      <c r="C12">
        <f>AVERAGE(D3:E3)-$O$16</f>
        <v>0</v>
      </c>
      <c r="D12">
        <v>0</v>
      </c>
      <c r="O12" s="4"/>
      <c r="P12" s="80">
        <f>AVERAGE(Q3:R3)-$AB$17</f>
        <v>0</v>
      </c>
      <c r="Q12">
        <v>0</v>
      </c>
      <c r="AB12" s="4"/>
    </row>
    <row r="13" spans="1:28" x14ac:dyDescent="0.25">
      <c r="B13" s="690"/>
      <c r="C13">
        <f t="shared" ref="C13:C19" si="0">AVERAGE(D4:E4)-$O$16</f>
        <v>9563.5</v>
      </c>
      <c r="D13">
        <v>3.9E-2</v>
      </c>
      <c r="O13" s="4"/>
      <c r="P13" s="80">
        <f t="shared" ref="P13:P19" si="1">AVERAGE(Q4:R4)-$AB$17</f>
        <v>10163</v>
      </c>
      <c r="Q13">
        <v>3.9E-2</v>
      </c>
      <c r="AB13" s="4"/>
    </row>
    <row r="14" spans="1:28" x14ac:dyDescent="0.25">
      <c r="B14" s="690"/>
      <c r="C14">
        <f t="shared" si="0"/>
        <v>19968</v>
      </c>
      <c r="D14">
        <v>7.8E-2</v>
      </c>
      <c r="O14" s="4"/>
      <c r="P14" s="80">
        <f t="shared" si="1"/>
        <v>25049</v>
      </c>
      <c r="Q14">
        <v>7.8E-2</v>
      </c>
      <c r="AB14" s="4"/>
    </row>
    <row r="15" spans="1:28" x14ac:dyDescent="0.25">
      <c r="B15" s="690"/>
      <c r="C15">
        <f t="shared" si="0"/>
        <v>40005</v>
      </c>
      <c r="D15">
        <v>0.156</v>
      </c>
      <c r="O15" s="4">
        <v>0</v>
      </c>
      <c r="P15" s="80">
        <f t="shared" si="1"/>
        <v>50219</v>
      </c>
      <c r="Q15">
        <v>0.156</v>
      </c>
      <c r="AB15" s="4"/>
    </row>
    <row r="16" spans="1:28" x14ac:dyDescent="0.25">
      <c r="B16" s="690"/>
      <c r="C16">
        <f t="shared" si="0"/>
        <v>85036.5</v>
      </c>
      <c r="D16">
        <v>0.3125</v>
      </c>
      <c r="O16" s="4">
        <v>8296.5</v>
      </c>
      <c r="P16" s="80">
        <f t="shared" si="1"/>
        <v>98205.5</v>
      </c>
      <c r="Q16">
        <v>0.3125</v>
      </c>
      <c r="AB16" s="4">
        <v>0</v>
      </c>
    </row>
    <row r="17" spans="2:45" ht="15.75" thickBot="1" x14ac:dyDescent="0.3">
      <c r="B17" s="690"/>
      <c r="C17">
        <f t="shared" si="0"/>
        <v>156554</v>
      </c>
      <c r="D17">
        <v>0.625</v>
      </c>
      <c r="O17" s="4"/>
      <c r="P17" s="80">
        <f t="shared" si="1"/>
        <v>189809.5</v>
      </c>
      <c r="Q17">
        <v>0.625</v>
      </c>
      <c r="AB17" s="4">
        <f>AVERAGE(Q3:R3)</f>
        <v>9606</v>
      </c>
    </row>
    <row r="18" spans="2:45" x14ac:dyDescent="0.25">
      <c r="B18" s="690"/>
      <c r="C18">
        <f t="shared" si="0"/>
        <v>312376</v>
      </c>
      <c r="D18">
        <v>1.25</v>
      </c>
      <c r="O18" s="4"/>
      <c r="P18" s="80">
        <f t="shared" si="1"/>
        <v>381118.5</v>
      </c>
      <c r="Q18">
        <v>1.25</v>
      </c>
      <c r="AB18" s="4"/>
      <c r="AE18" s="644" t="s">
        <v>493</v>
      </c>
      <c r="AF18" s="701" t="s">
        <v>15</v>
      </c>
      <c r="AG18" s="701" t="s">
        <v>490</v>
      </c>
      <c r="AH18" s="582">
        <f>G51</f>
        <v>3.7912209262999999E-2</v>
      </c>
      <c r="AI18" s="821">
        <f>AVERAGE(AH18:AH22)</f>
        <v>5.1661204097500003E-2</v>
      </c>
      <c r="AJ18" s="582">
        <f t="shared" ref="AJ18:AJ32" si="2">I51</f>
        <v>8951</v>
      </c>
      <c r="AK18" s="810">
        <f>AVERAGE(AJ18:AJ22)</f>
        <v>12490.3</v>
      </c>
    </row>
    <row r="19" spans="2:45" x14ac:dyDescent="0.25">
      <c r="B19" s="690"/>
      <c r="C19">
        <f t="shared" si="0"/>
        <v>646973.5</v>
      </c>
      <c r="D19">
        <v>2.5</v>
      </c>
      <c r="O19" s="4"/>
      <c r="P19" s="80">
        <f t="shared" si="1"/>
        <v>724662.5</v>
      </c>
      <c r="Q19">
        <v>2.5</v>
      </c>
      <c r="AB19" s="4"/>
      <c r="AE19" s="645"/>
      <c r="AF19" s="669"/>
      <c r="AG19" s="669"/>
      <c r="AH19" s="255">
        <f t="shared" ref="AH19:AH32" si="3">G52</f>
        <v>6.7272507332999998E-2</v>
      </c>
      <c r="AI19" s="822"/>
      <c r="AJ19" s="255">
        <f t="shared" si="2"/>
        <v>16509</v>
      </c>
      <c r="AK19" s="811"/>
    </row>
    <row r="20" spans="2:45" x14ac:dyDescent="0.25">
      <c r="B20" s="690"/>
      <c r="O20" s="4"/>
      <c r="P20" s="80"/>
      <c r="AB20" s="4"/>
      <c r="AE20" s="645"/>
      <c r="AF20" s="669"/>
      <c r="AG20" s="669"/>
      <c r="AH20" s="255">
        <f t="shared" si="3"/>
        <v>3.1607397968000002E-2</v>
      </c>
      <c r="AI20" s="822"/>
      <c r="AJ20" s="255">
        <f t="shared" si="2"/>
        <v>7328</v>
      </c>
      <c r="AK20" s="811"/>
    </row>
    <row r="21" spans="2:45" x14ac:dyDescent="0.25">
      <c r="B21" s="690"/>
      <c r="O21" s="4"/>
      <c r="P21" s="80"/>
      <c r="AB21" s="4"/>
      <c r="AE21" s="645"/>
      <c r="AF21" s="669"/>
      <c r="AG21" s="669"/>
      <c r="AH21" s="255">
        <f t="shared" si="3"/>
        <v>6.2640044320500007E-2</v>
      </c>
      <c r="AI21" s="822"/>
      <c r="AJ21" s="255">
        <f t="shared" si="2"/>
        <v>15316.5</v>
      </c>
      <c r="AK21" s="811"/>
    </row>
    <row r="22" spans="2:45" x14ac:dyDescent="0.25">
      <c r="B22" s="690"/>
      <c r="O22" s="4"/>
      <c r="P22" s="80"/>
      <c r="AB22" s="4"/>
      <c r="AE22" s="645"/>
      <c r="AF22" s="669"/>
      <c r="AG22" s="669"/>
      <c r="AH22" s="255">
        <f t="shared" si="3"/>
        <v>5.8873861603000004E-2</v>
      </c>
      <c r="AI22" s="822"/>
      <c r="AJ22" s="255">
        <f t="shared" si="2"/>
        <v>14347</v>
      </c>
      <c r="AK22" s="811"/>
    </row>
    <row r="23" spans="2:45" x14ac:dyDescent="0.25">
      <c r="B23" s="690"/>
      <c r="C23" t="s">
        <v>90</v>
      </c>
      <c r="D23" s="255">
        <v>3.8846650000000004E-6</v>
      </c>
      <c r="O23" s="4"/>
      <c r="P23" s="80" t="s">
        <v>90</v>
      </c>
      <c r="Q23" s="255">
        <v>3.4328259999999999E-6</v>
      </c>
      <c r="AB23" s="4"/>
      <c r="AE23" s="645"/>
      <c r="AF23" s="669"/>
      <c r="AG23" s="669" t="s">
        <v>491</v>
      </c>
      <c r="AH23" s="255">
        <f t="shared" si="3"/>
        <v>5.9493465670500005E-2</v>
      </c>
      <c r="AI23" s="822">
        <f>AVERAGE(AH23:AH27)</f>
        <v>7.0997124135000006E-2</v>
      </c>
      <c r="AJ23" s="255">
        <f t="shared" si="2"/>
        <v>14506.5</v>
      </c>
      <c r="AK23" s="811">
        <f>AVERAGE(AJ23:AJ27)</f>
        <v>17467.8</v>
      </c>
    </row>
    <row r="24" spans="2:45" x14ac:dyDescent="0.25">
      <c r="B24" s="690"/>
      <c r="C24" s="80" t="s">
        <v>91</v>
      </c>
      <c r="D24">
        <v>3.140572848E-3</v>
      </c>
      <c r="O24" s="4"/>
      <c r="P24" s="80" t="s">
        <v>91</v>
      </c>
      <c r="Q24">
        <v>-1.4767859600000001E-2</v>
      </c>
      <c r="AB24" s="4"/>
      <c r="AE24" s="645"/>
      <c r="AF24" s="669"/>
      <c r="AG24" s="669"/>
      <c r="AH24" s="255">
        <f t="shared" si="3"/>
        <v>7.4385328948000012E-2</v>
      </c>
      <c r="AI24" s="822"/>
      <c r="AJ24" s="255">
        <f t="shared" si="2"/>
        <v>18340</v>
      </c>
      <c r="AK24" s="811"/>
    </row>
    <row r="25" spans="2:45" ht="15.75" thickBot="1" x14ac:dyDescent="0.3">
      <c r="B25" s="691"/>
      <c r="C25" s="8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81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  <c r="AE25" s="645"/>
      <c r="AF25" s="669"/>
      <c r="AG25" s="669"/>
      <c r="AH25" s="255">
        <f t="shared" si="3"/>
        <v>6.8603005095500005E-2</v>
      </c>
      <c r="AI25" s="822"/>
      <c r="AJ25" s="255">
        <f t="shared" si="2"/>
        <v>16851.5</v>
      </c>
      <c r="AK25" s="811"/>
    </row>
    <row r="26" spans="2:45" x14ac:dyDescent="0.25">
      <c r="B26" s="689" t="s">
        <v>487</v>
      </c>
      <c r="C26" s="407"/>
      <c r="D26" s="19">
        <v>1</v>
      </c>
      <c r="E26" s="19">
        <v>2</v>
      </c>
      <c r="F26" s="19">
        <v>3</v>
      </c>
      <c r="G26" s="19">
        <v>4</v>
      </c>
      <c r="H26" s="19">
        <v>5</v>
      </c>
      <c r="I26" s="19">
        <v>6</v>
      </c>
      <c r="J26" s="19">
        <v>7</v>
      </c>
      <c r="K26" s="19">
        <v>8</v>
      </c>
      <c r="L26" s="19">
        <v>9</v>
      </c>
      <c r="M26" s="19">
        <v>10</v>
      </c>
      <c r="N26" s="19">
        <v>11</v>
      </c>
      <c r="O26" s="20">
        <v>12</v>
      </c>
      <c r="P26" s="407"/>
      <c r="Q26" s="19">
        <v>1</v>
      </c>
      <c r="R26" s="19">
        <v>2</v>
      </c>
      <c r="S26" s="19">
        <v>3</v>
      </c>
      <c r="T26" s="19">
        <v>4</v>
      </c>
      <c r="U26" s="19">
        <v>5</v>
      </c>
      <c r="V26" s="19">
        <v>6</v>
      </c>
      <c r="W26" s="19">
        <v>7</v>
      </c>
      <c r="X26" s="19">
        <v>8</v>
      </c>
      <c r="Y26" s="19">
        <v>9</v>
      </c>
      <c r="Z26" s="19">
        <v>10</v>
      </c>
      <c r="AA26" s="19">
        <v>11</v>
      </c>
      <c r="AB26" s="20">
        <v>12</v>
      </c>
      <c r="AE26" s="645"/>
      <c r="AF26" s="669"/>
      <c r="AG26" s="669"/>
      <c r="AH26" s="255">
        <f t="shared" si="3"/>
        <v>6.8035844005500001E-2</v>
      </c>
      <c r="AI26" s="822"/>
      <c r="AJ26" s="255">
        <f t="shared" si="2"/>
        <v>16705.5</v>
      </c>
      <c r="AK26" s="811"/>
    </row>
    <row r="27" spans="2:45" x14ac:dyDescent="0.25">
      <c r="B27" s="690"/>
      <c r="C27" s="408" t="s">
        <v>13</v>
      </c>
      <c r="D27" s="568">
        <f>(D3-$O$16)*$D$23+$D$24</f>
        <v>2.8006646604999998E-3</v>
      </c>
      <c r="E27" s="568">
        <f t="shared" ref="E27:O27" si="4">(E3-$O$16)*$D$23+$D$24</f>
        <v>3.4804810355000002E-3</v>
      </c>
      <c r="F27" s="568">
        <f t="shared" si="4"/>
        <v>5.7722058430500003E-2</v>
      </c>
      <c r="G27" s="568">
        <f t="shared" si="4"/>
        <v>5.9850854850500006E-2</v>
      </c>
      <c r="H27" s="568">
        <f t="shared" si="4"/>
        <v>4.3139026020500001E-2</v>
      </c>
      <c r="I27" s="568">
        <f t="shared" si="4"/>
        <v>4.9719648530500003E-2</v>
      </c>
      <c r="J27" s="568">
        <f t="shared" si="4"/>
        <v>6.7523068225499999E-2</v>
      </c>
      <c r="K27" s="568">
        <f t="shared" si="4"/>
        <v>6.702194644050001E-2</v>
      </c>
      <c r="L27" s="568">
        <f t="shared" si="4"/>
        <v>8.4304821025500007E-2</v>
      </c>
      <c r="M27" s="568">
        <f t="shared" si="4"/>
        <v>8.4631132885500004E-2</v>
      </c>
      <c r="N27" s="568">
        <f t="shared" si="4"/>
        <v>6.3490785955500006E-2</v>
      </c>
      <c r="O27" s="569">
        <f t="shared" si="4"/>
        <v>6.4411451560500002E-2</v>
      </c>
      <c r="P27" s="408" t="s">
        <v>13</v>
      </c>
      <c r="Q27" s="568">
        <f>(Q3-$AB$17)*$Q$23+$Q$24</f>
        <v>-1.7332180621999999E-2</v>
      </c>
      <c r="R27" s="568">
        <f t="shared" ref="R27:AB27" si="5">(R3-$AB$17)*$Q$23+$Q$24</f>
        <v>-1.2203538578E-2</v>
      </c>
      <c r="S27" s="568">
        <f t="shared" si="5"/>
        <v>3.2234393991999996E-2</v>
      </c>
      <c r="T27" s="568">
        <f t="shared" si="5"/>
        <v>2.9676938621999993E-2</v>
      </c>
      <c r="U27" s="568">
        <f t="shared" si="5"/>
        <v>2.2032035119999994E-2</v>
      </c>
      <c r="V27" s="568">
        <f t="shared" si="5"/>
        <v>2.1105172099999993E-2</v>
      </c>
      <c r="W27" s="568">
        <f t="shared" si="5"/>
        <v>3.8066765365999997E-2</v>
      </c>
      <c r="X27" s="568">
        <f t="shared" si="5"/>
        <v>3.8887210779999994E-2</v>
      </c>
      <c r="Y27" s="568">
        <f t="shared" si="5"/>
        <v>2.3477254865999997E-2</v>
      </c>
      <c r="Z27" s="568">
        <f t="shared" si="5"/>
        <v>2.5416801555999999E-2</v>
      </c>
      <c r="AA27" s="568">
        <f t="shared" si="5"/>
        <v>3.3216182227999998E-2</v>
      </c>
      <c r="AB27" s="569">
        <f t="shared" si="5"/>
        <v>3.4901699793999999E-2</v>
      </c>
      <c r="AE27" s="645"/>
      <c r="AF27" s="669"/>
      <c r="AG27" s="669"/>
      <c r="AH27" s="255">
        <f t="shared" si="3"/>
        <v>8.4467976955500013E-2</v>
      </c>
      <c r="AI27" s="822"/>
      <c r="AJ27" s="255">
        <f t="shared" si="2"/>
        <v>20935.5</v>
      </c>
      <c r="AK27" s="811"/>
      <c r="AM27" t="s">
        <v>494</v>
      </c>
      <c r="AN27" t="s">
        <v>42</v>
      </c>
      <c r="AO27" t="s">
        <v>495</v>
      </c>
      <c r="AP27" t="s">
        <v>490</v>
      </c>
      <c r="AQ27">
        <f>TTEST(AH18:AH22,AH33:AH42,1,2)</f>
        <v>3.6305508692353175E-2</v>
      </c>
      <c r="AS27">
        <f t="shared" ref="AS27" si="6">TTEST(AJ18:AJ22,AJ33:AJ42,1,2)</f>
        <v>0.21657531468691982</v>
      </c>
    </row>
    <row r="28" spans="2:45" x14ac:dyDescent="0.25">
      <c r="B28" s="690"/>
      <c r="C28" s="408" t="s">
        <v>14</v>
      </c>
      <c r="D28" s="568">
        <f t="shared" ref="D28:O34" si="7">(D4-$O$16)*$D$23+$D$24</f>
        <v>3.8508505340500002E-2</v>
      </c>
      <c r="E28" s="568">
        <f t="shared" si="7"/>
        <v>4.2074627810500004E-2</v>
      </c>
      <c r="F28" s="568">
        <f t="shared" si="7"/>
        <v>3.8990203800500001E-2</v>
      </c>
      <c r="G28" s="568">
        <f t="shared" si="7"/>
        <v>4.0466376500500001E-2</v>
      </c>
      <c r="H28" s="568">
        <f t="shared" si="7"/>
        <v>3.7413029810500001E-2</v>
      </c>
      <c r="I28" s="568">
        <f t="shared" si="7"/>
        <v>4.0330413225500003E-2</v>
      </c>
      <c r="J28" s="568">
        <f t="shared" si="7"/>
        <v>3.0482787450500003E-2</v>
      </c>
      <c r="K28" s="568">
        <f t="shared" si="7"/>
        <v>3.2732008485500001E-2</v>
      </c>
      <c r="L28" s="568">
        <f t="shared" si="7"/>
        <v>7.2658595355500011E-2</v>
      </c>
      <c r="M28" s="568">
        <f t="shared" si="7"/>
        <v>7.0716262855500006E-2</v>
      </c>
      <c r="N28" s="568">
        <f t="shared" si="7"/>
        <v>6.6167320140500002E-2</v>
      </c>
      <c r="O28" s="569">
        <f t="shared" si="7"/>
        <v>6.5782738305500008E-2</v>
      </c>
      <c r="P28" s="408" t="s">
        <v>14</v>
      </c>
      <c r="Q28" s="568">
        <f t="shared" ref="Q28:AB34" si="8">(Q4-$AB$17)*$Q$23+$Q$24</f>
        <v>1.3165045561999997E-2</v>
      </c>
      <c r="R28" s="568">
        <f t="shared" si="8"/>
        <v>2.7074856513999997E-2</v>
      </c>
      <c r="S28" s="568">
        <f t="shared" si="8"/>
        <v>1.54410092E-2</v>
      </c>
      <c r="T28" s="568">
        <f t="shared" si="8"/>
        <v>1.8084285219999996E-2</v>
      </c>
      <c r="U28" s="568">
        <f t="shared" si="8"/>
        <v>-7.536432000000183E-5</v>
      </c>
      <c r="V28" s="568">
        <f t="shared" si="8"/>
        <v>2.0956023799999918E-4</v>
      </c>
      <c r="W28" s="568">
        <f t="shared" si="8"/>
        <v>1.8585477815999993E-2</v>
      </c>
      <c r="X28" s="568">
        <f t="shared" si="8"/>
        <v>1.8812044331999997E-2</v>
      </c>
      <c r="Y28" s="568">
        <f t="shared" si="8"/>
        <v>2.8550971693999998E-2</v>
      </c>
      <c r="Z28" s="568">
        <f t="shared" si="8"/>
        <v>3.0401264907999999E-2</v>
      </c>
      <c r="AA28" s="568">
        <f t="shared" si="8"/>
        <v>3.8169750145999992E-2</v>
      </c>
      <c r="AB28" s="569">
        <f t="shared" si="8"/>
        <v>3.9010792515999995E-2</v>
      </c>
      <c r="AE28" s="645"/>
      <c r="AF28" s="669"/>
      <c r="AG28" s="669" t="s">
        <v>492</v>
      </c>
      <c r="AH28" s="255">
        <f t="shared" si="3"/>
        <v>7.1687429105500008E-2</v>
      </c>
      <c r="AI28" s="822">
        <f>AVERAGE(AH28:AH32)</f>
        <v>7.4864308142500002E-2</v>
      </c>
      <c r="AJ28" s="255">
        <f t="shared" si="2"/>
        <v>17645.5</v>
      </c>
      <c r="AK28" s="811">
        <f>AVERAGE(AJ28:AJ32)</f>
        <v>18463.3</v>
      </c>
      <c r="AP28" t="s">
        <v>491</v>
      </c>
      <c r="AQ28">
        <f>TTEST(AH23:AH27,AH43:AH52,1,2)</f>
        <v>3.0109475423721458E-4</v>
      </c>
      <c r="AS28">
        <f t="shared" ref="AS28" si="9">TTEST(AJ23:AJ27,AJ43:AJ52,1,2)</f>
        <v>4.2102434931762652E-3</v>
      </c>
    </row>
    <row r="29" spans="2:45" x14ac:dyDescent="0.25">
      <c r="B29" s="690"/>
      <c r="C29" s="408" t="s">
        <v>15</v>
      </c>
      <c r="D29" s="568">
        <f t="shared" si="7"/>
        <v>7.99928428755E-2</v>
      </c>
      <c r="E29" s="568">
        <f t="shared" si="7"/>
        <v>8.1426284260499998E-2</v>
      </c>
      <c r="F29" s="568">
        <f t="shared" si="7"/>
        <v>3.8838701865500001E-2</v>
      </c>
      <c r="G29" s="568">
        <f t="shared" si="7"/>
        <v>4.2420362995499998E-2</v>
      </c>
      <c r="H29" s="568">
        <f t="shared" si="7"/>
        <v>5.9353617730500005E-2</v>
      </c>
      <c r="I29" s="568">
        <f t="shared" si="7"/>
        <v>6.14940681455E-2</v>
      </c>
      <c r="J29" s="568">
        <f t="shared" si="7"/>
        <v>6.2733276280500003E-2</v>
      </c>
      <c r="K29" s="568">
        <f t="shared" si="7"/>
        <v>6.2546812360500012E-2</v>
      </c>
      <c r="L29" s="568">
        <f t="shared" si="7"/>
        <v>8.3461848720500012E-2</v>
      </c>
      <c r="M29" s="568">
        <f t="shared" si="7"/>
        <v>8.1123280390499999E-2</v>
      </c>
      <c r="N29" s="568">
        <f t="shared" si="7"/>
        <v>6.361121057050001E-2</v>
      </c>
      <c r="O29" s="569">
        <f t="shared" si="7"/>
        <v>5.9411887705500002E-2</v>
      </c>
      <c r="P29" s="408" t="s">
        <v>15</v>
      </c>
      <c r="Q29" s="568">
        <f t="shared" si="8"/>
        <v>7.0664881061999987E-2</v>
      </c>
      <c r="R29" s="568">
        <f t="shared" si="8"/>
        <v>7.1777116685999995E-2</v>
      </c>
      <c r="S29" s="568">
        <f t="shared" si="8"/>
        <v>1.3336686861999998E-2</v>
      </c>
      <c r="T29" s="568">
        <f t="shared" si="8"/>
        <v>1.4881458561999997E-2</v>
      </c>
      <c r="U29" s="568">
        <f t="shared" si="8"/>
        <v>5.9357152217999989E-2</v>
      </c>
      <c r="V29" s="568">
        <f t="shared" si="8"/>
        <v>6.0658193271999991E-2</v>
      </c>
      <c r="W29" s="568">
        <f t="shared" si="8"/>
        <v>3.1537530313999994E-2</v>
      </c>
      <c r="X29" s="568">
        <f t="shared" si="8"/>
        <v>3.0802905549999995E-2</v>
      </c>
      <c r="Y29" s="568">
        <f t="shared" si="8"/>
        <v>2.3055017267999994E-2</v>
      </c>
      <c r="Z29" s="568">
        <f t="shared" si="8"/>
        <v>2.5749785677999994E-2</v>
      </c>
      <c r="AA29" s="568">
        <f t="shared" si="8"/>
        <v>3.2800810281999992E-2</v>
      </c>
      <c r="AB29" s="569">
        <f t="shared" si="8"/>
        <v>3.3003347015999995E-2</v>
      </c>
      <c r="AE29" s="645"/>
      <c r="AF29" s="669"/>
      <c r="AG29" s="669"/>
      <c r="AH29" s="255">
        <f t="shared" si="3"/>
        <v>8.2292564555500006E-2</v>
      </c>
      <c r="AI29" s="822"/>
      <c r="AJ29" s="255">
        <f t="shared" si="2"/>
        <v>20375.5</v>
      </c>
      <c r="AK29" s="811"/>
      <c r="AP29" t="s">
        <v>492</v>
      </c>
      <c r="AQ29">
        <f>TTEST(AH28:AH32,AH53:AH60,1,2)</f>
        <v>2.4667705295653583E-2</v>
      </c>
      <c r="AS29">
        <f t="shared" ref="AS29" si="10">TTEST(AJ28:AJ32,AJ53:AJ60,1,2)</f>
        <v>4.7417313833101098E-2</v>
      </c>
    </row>
    <row r="30" spans="2:45" x14ac:dyDescent="0.25">
      <c r="B30" s="690"/>
      <c r="C30" s="408" t="s">
        <v>16</v>
      </c>
      <c r="D30" s="568">
        <f t="shared" si="7"/>
        <v>0.14938461377050002</v>
      </c>
      <c r="E30" s="568">
        <f t="shared" si="7"/>
        <v>0.16770857857550003</v>
      </c>
      <c r="F30" s="568">
        <f t="shared" si="7"/>
        <v>4.5380477725500003E-2</v>
      </c>
      <c r="G30" s="568">
        <f t="shared" si="7"/>
        <v>5.31109610755E-2</v>
      </c>
      <c r="H30" s="568">
        <f t="shared" si="7"/>
        <v>7.5684749390500003E-2</v>
      </c>
      <c r="I30" s="568">
        <f t="shared" si="7"/>
        <v>7.747946462050001E-2</v>
      </c>
      <c r="J30" s="568">
        <f t="shared" si="7"/>
        <v>5.6059421810500006E-2</v>
      </c>
      <c r="K30" s="568">
        <f t="shared" si="7"/>
        <v>6.1688301395500002E-2</v>
      </c>
      <c r="L30" s="568">
        <f t="shared" si="7"/>
        <v>6.9613017995500001E-2</v>
      </c>
      <c r="M30" s="568">
        <f t="shared" si="7"/>
        <v>6.6000279545500001E-2</v>
      </c>
      <c r="N30" s="568">
        <f t="shared" si="7"/>
        <v>0.12476749166550001</v>
      </c>
      <c r="O30" s="569">
        <f t="shared" si="7"/>
        <v>0.12615820173550002</v>
      </c>
      <c r="P30" s="408" t="s">
        <v>16</v>
      </c>
      <c r="Q30" s="568">
        <f t="shared" si="8"/>
        <v>0.15750508038400002</v>
      </c>
      <c r="R30" s="568">
        <f t="shared" si="8"/>
        <v>0.157745378204</v>
      </c>
      <c r="S30" s="568">
        <f t="shared" si="8"/>
        <v>1.8660999987999999E-2</v>
      </c>
      <c r="T30" s="568">
        <f t="shared" si="8"/>
        <v>2.2080094683999997E-2</v>
      </c>
      <c r="U30" s="568">
        <f t="shared" si="8"/>
        <v>2.9010970377999996E-2</v>
      </c>
      <c r="V30" s="568">
        <f t="shared" si="8"/>
        <v>3.0881860547999997E-2</v>
      </c>
      <c r="W30" s="568">
        <f t="shared" si="8"/>
        <v>2.0126816689999993E-2</v>
      </c>
      <c r="X30" s="568">
        <f t="shared" si="8"/>
        <v>2.2766659883999993E-2</v>
      </c>
      <c r="Y30" s="568">
        <f t="shared" si="8"/>
        <v>4.8825242049999995E-2</v>
      </c>
      <c r="Z30" s="568">
        <f t="shared" si="8"/>
        <v>4.9765836373999991E-2</v>
      </c>
      <c r="AA30" s="568">
        <f t="shared" si="8"/>
        <v>4.4486149985999993E-2</v>
      </c>
      <c r="AB30" s="569">
        <f t="shared" si="8"/>
        <v>4.3559286965999998E-2</v>
      </c>
      <c r="AE30" s="645"/>
      <c r="AF30" s="669"/>
      <c r="AG30" s="669"/>
      <c r="AH30" s="255">
        <f t="shared" si="3"/>
        <v>6.7806648770499994E-2</v>
      </c>
      <c r="AI30" s="822"/>
      <c r="AJ30" s="255">
        <f t="shared" si="2"/>
        <v>16646.5</v>
      </c>
      <c r="AK30" s="811"/>
      <c r="AO30" t="s">
        <v>15</v>
      </c>
      <c r="AP30" t="s">
        <v>496</v>
      </c>
      <c r="AQ30">
        <f>TTEST(AH18:AH22,AH23:AH27,1,2)</f>
        <v>2.3126522879582691E-2</v>
      </c>
      <c r="AS30">
        <f t="shared" ref="AS30" si="11">TTEST(AJ18:AJ22,AJ23:AJ27,1,2)</f>
        <v>2.3126522879582691E-2</v>
      </c>
    </row>
    <row r="31" spans="2:45" x14ac:dyDescent="0.25">
      <c r="B31" s="690"/>
      <c r="C31" s="408" t="s">
        <v>17</v>
      </c>
      <c r="D31" s="568">
        <f t="shared" si="7"/>
        <v>0.33385570062550002</v>
      </c>
      <c r="E31" s="568">
        <f t="shared" si="7"/>
        <v>0.33310207561550004</v>
      </c>
      <c r="F31" s="568">
        <f t="shared" si="7"/>
        <v>4.8138589875500001E-2</v>
      </c>
      <c r="G31" s="568">
        <f t="shared" si="7"/>
        <v>5.3297424995500005E-2</v>
      </c>
      <c r="H31" s="568">
        <f t="shared" si="7"/>
        <v>5.5958420520500006E-2</v>
      </c>
      <c r="I31" s="568">
        <f t="shared" si="7"/>
        <v>6.2220500500500001E-2</v>
      </c>
      <c r="J31" s="568">
        <f t="shared" si="7"/>
        <v>5.7710404435500004E-2</v>
      </c>
      <c r="K31" s="568">
        <f t="shared" si="7"/>
        <v>6.1276526905500006E-2</v>
      </c>
      <c r="L31" s="568">
        <f t="shared" si="7"/>
        <v>7.7425079310500008E-2</v>
      </c>
      <c r="M31" s="568">
        <f t="shared" si="7"/>
        <v>7.747946462050001E-2</v>
      </c>
      <c r="N31" s="568">
        <f t="shared" si="7"/>
        <v>5.7302514610500004E-2</v>
      </c>
      <c r="O31" s="569">
        <f t="shared" si="7"/>
        <v>5.8557261405500001E-2</v>
      </c>
      <c r="P31" s="408" t="s">
        <v>17</v>
      </c>
      <c r="Q31" s="568">
        <f t="shared" si="8"/>
        <v>0.32051282299400002</v>
      </c>
      <c r="R31" s="568">
        <f t="shared" si="8"/>
        <v>0.32419624529199997</v>
      </c>
      <c r="S31" s="568">
        <f t="shared" si="8"/>
        <v>2.7909033231999995E-2</v>
      </c>
      <c r="T31" s="568">
        <f t="shared" si="8"/>
        <v>3.1568425747999992E-2</v>
      </c>
      <c r="U31" s="568">
        <f t="shared" si="8"/>
        <v>2.2986360747999993E-2</v>
      </c>
      <c r="V31" s="568">
        <f t="shared" si="8"/>
        <v>2.3631732035999997E-2</v>
      </c>
      <c r="W31" s="568">
        <f t="shared" si="8"/>
        <v>2.8904552771999999E-2</v>
      </c>
      <c r="X31" s="568">
        <f t="shared" si="8"/>
        <v>2.9824550139999996E-2</v>
      </c>
      <c r="Y31" s="568">
        <f t="shared" si="8"/>
        <v>2.2804420969999996E-2</v>
      </c>
      <c r="Z31" s="568">
        <f t="shared" si="8"/>
        <v>3.0219325129999995E-2</v>
      </c>
      <c r="AA31" s="568">
        <f t="shared" si="8"/>
        <v>3.5265579349999993E-2</v>
      </c>
      <c r="AB31" s="569">
        <f t="shared" si="8"/>
        <v>3.6899604525999996E-2</v>
      </c>
      <c r="AE31" s="645"/>
      <c r="AF31" s="669"/>
      <c r="AG31" s="669"/>
      <c r="AH31" s="255">
        <f t="shared" si="3"/>
        <v>7.7452271965500002E-2</v>
      </c>
      <c r="AI31" s="822"/>
      <c r="AJ31" s="255">
        <f t="shared" si="2"/>
        <v>19129.5</v>
      </c>
      <c r="AK31" s="811"/>
      <c r="AP31" t="s">
        <v>497</v>
      </c>
      <c r="AQ31">
        <f>TTEST(AH18:AH22,AH28:AH32,1,2)</f>
        <v>7.4688538669188719E-3</v>
      </c>
      <c r="AS31">
        <f t="shared" ref="AS31" si="12">TTEST(AJ18:AJ22,AJ28:AJ32,1,2)</f>
        <v>7.4688538669188658E-3</v>
      </c>
    </row>
    <row r="32" spans="2:45" x14ac:dyDescent="0.25">
      <c r="B32" s="690"/>
      <c r="C32" s="408" t="s">
        <v>18</v>
      </c>
      <c r="D32" s="568">
        <f t="shared" si="7"/>
        <v>0.59292789414049996</v>
      </c>
      <c r="E32" s="568">
        <f t="shared" si="7"/>
        <v>0.62967294037550003</v>
      </c>
      <c r="F32" s="568">
        <f t="shared" si="7"/>
        <v>5.1860098945500005E-2</v>
      </c>
      <c r="G32" s="568">
        <f t="shared" si="7"/>
        <v>5.3312963655499999E-2</v>
      </c>
      <c r="H32" s="568">
        <f t="shared" si="7"/>
        <v>3.43208364705E-2</v>
      </c>
      <c r="I32" s="568">
        <f t="shared" si="7"/>
        <v>3.5326964705500001E-2</v>
      </c>
      <c r="J32" s="568">
        <f t="shared" si="7"/>
        <v>7.2561478730500006E-2</v>
      </c>
      <c r="K32" s="568">
        <f t="shared" si="7"/>
        <v>7.6209179165500004E-2</v>
      </c>
      <c r="L32" s="568">
        <f t="shared" si="7"/>
        <v>7.5917829290500005E-2</v>
      </c>
      <c r="M32" s="568">
        <f t="shared" si="7"/>
        <v>7.424742334050001E-2</v>
      </c>
      <c r="N32" s="568">
        <f t="shared" si="7"/>
        <v>7.5008817680500009E-2</v>
      </c>
      <c r="O32" s="569">
        <f t="shared" si="7"/>
        <v>7.3217987115500011E-2</v>
      </c>
      <c r="P32" s="408" t="s">
        <v>18</v>
      </c>
      <c r="Q32" s="568">
        <f t="shared" si="8"/>
        <v>0.64027369924199995</v>
      </c>
      <c r="R32" s="568">
        <f t="shared" si="8"/>
        <v>0.63335655485199993</v>
      </c>
      <c r="S32" s="568">
        <f t="shared" si="8"/>
        <v>3.0452757297999997E-2</v>
      </c>
      <c r="T32" s="568">
        <f t="shared" si="8"/>
        <v>3.7812736241999996E-2</v>
      </c>
      <c r="U32" s="568">
        <f t="shared" si="8"/>
        <v>0.488563386998</v>
      </c>
      <c r="V32" s="568">
        <f t="shared" si="8"/>
        <v>0.50140215623799989</v>
      </c>
      <c r="W32" s="568">
        <f t="shared" si="8"/>
        <v>1.3055195129999997E-2</v>
      </c>
      <c r="X32" s="568">
        <f t="shared" si="8"/>
        <v>1.5894142231999996E-2</v>
      </c>
      <c r="Y32" s="568">
        <f t="shared" si="8"/>
        <v>1.3072359259999998E-2</v>
      </c>
      <c r="Z32" s="568">
        <f t="shared" si="8"/>
        <v>1.1695796033999997E-2</v>
      </c>
      <c r="AA32" s="568">
        <f t="shared" si="8"/>
        <v>3.4022896337999993E-2</v>
      </c>
      <c r="AB32" s="569">
        <f t="shared" si="8"/>
        <v>6.1121624781999992E-2</v>
      </c>
      <c r="AE32" s="645"/>
      <c r="AF32" s="669"/>
      <c r="AG32" s="669"/>
      <c r="AH32" s="255">
        <f t="shared" si="3"/>
        <v>7.5082626315500001E-2</v>
      </c>
      <c r="AI32" s="822"/>
      <c r="AJ32" s="255">
        <f t="shared" si="2"/>
        <v>18519.5</v>
      </c>
      <c r="AK32" s="811"/>
      <c r="AP32" t="s">
        <v>498</v>
      </c>
      <c r="AQ32">
        <f>TTEST(AH23:AH27,AH28:AH32,1,2)</f>
        <v>0.22205304553106786</v>
      </c>
      <c r="AS32">
        <f t="shared" ref="AS32" si="13">TTEST(AJ23:AJ27,AJ28:AJ32,1,2)</f>
        <v>0.22205304553106753</v>
      </c>
    </row>
    <row r="33" spans="2:45" x14ac:dyDescent="0.25">
      <c r="B33" s="690"/>
      <c r="C33" s="408" t="s">
        <v>19</v>
      </c>
      <c r="D33" s="568">
        <f t="shared" si="7"/>
        <v>1.2205343715405002</v>
      </c>
      <c r="E33" s="568">
        <f t="shared" si="7"/>
        <v>1.2126990022355002</v>
      </c>
      <c r="F33" s="568">
        <f t="shared" si="7"/>
        <v>5.72325906405E-2</v>
      </c>
      <c r="G33" s="568">
        <f t="shared" si="7"/>
        <v>5.7807521060500001E-2</v>
      </c>
      <c r="H33" s="568">
        <f t="shared" si="7"/>
        <v>8.2700454380499999E-2</v>
      </c>
      <c r="I33" s="568">
        <f t="shared" si="7"/>
        <v>8.1313628975499999E-2</v>
      </c>
      <c r="J33" s="568">
        <f t="shared" si="7"/>
        <v>6.8773930355500001E-2</v>
      </c>
      <c r="K33" s="568">
        <f t="shared" si="7"/>
        <v>6.8432079835500009E-2</v>
      </c>
      <c r="L33" s="568">
        <f t="shared" si="7"/>
        <v>6.6039126195500009E-2</v>
      </c>
      <c r="M33" s="568">
        <f t="shared" si="7"/>
        <v>6.5308809175500013E-2</v>
      </c>
      <c r="N33" s="568">
        <f t="shared" si="7"/>
        <v>5.3884009410500006E-2</v>
      </c>
      <c r="O33" s="569">
        <f t="shared" si="7"/>
        <v>5.9404118375500005E-2</v>
      </c>
      <c r="P33" s="408" t="s">
        <v>19</v>
      </c>
      <c r="Q33" s="568">
        <f t="shared" si="8"/>
        <v>1.2974985354199999</v>
      </c>
      <c r="R33" s="568">
        <f t="shared" si="8"/>
        <v>1.289592737142</v>
      </c>
      <c r="S33" s="568">
        <f t="shared" si="8"/>
        <v>3.0418429037999996E-2</v>
      </c>
      <c r="T33" s="568">
        <f t="shared" si="8"/>
        <v>3.4163642203999998E-2</v>
      </c>
      <c r="U33" s="568">
        <f t="shared" si="8"/>
        <v>2.3363971607999995E-2</v>
      </c>
      <c r="V33" s="568">
        <f t="shared" si="8"/>
        <v>2.5293219819999997E-2</v>
      </c>
      <c r="W33" s="568">
        <f t="shared" si="8"/>
        <v>1.9745773003999996E-2</v>
      </c>
      <c r="X33" s="568">
        <f t="shared" si="8"/>
        <v>2.4283968975999999E-2</v>
      </c>
      <c r="Y33" s="568">
        <f t="shared" si="8"/>
        <v>3.2800810281999992E-2</v>
      </c>
      <c r="Z33" s="568">
        <f t="shared" si="8"/>
        <v>3.4706028711999994E-2</v>
      </c>
      <c r="AA33" s="568">
        <f t="shared" si="8"/>
        <v>0.13353365642600001</v>
      </c>
      <c r="AB33" s="569">
        <f t="shared" si="8"/>
        <v>0.13552812833200001</v>
      </c>
      <c r="AE33" s="645"/>
      <c r="AF33" s="669" t="s">
        <v>219</v>
      </c>
      <c r="AG33" s="669" t="s">
        <v>490</v>
      </c>
      <c r="AH33" s="255">
        <f>G36</f>
        <v>5.8786456640500001E-2</v>
      </c>
      <c r="AI33" s="822">
        <f>AVERAGE(AH33:AH42)</f>
        <v>3.5426294348749998E-2</v>
      </c>
      <c r="AJ33" s="255">
        <f t="shared" ref="AJ33:AJ37" si="14">I36</f>
        <v>14324.5</v>
      </c>
      <c r="AK33" s="811">
        <f>AVERAGE(AJ33:AJ42)</f>
        <v>11256.45</v>
      </c>
      <c r="AO33" t="s">
        <v>219</v>
      </c>
      <c r="AP33" t="s">
        <v>496</v>
      </c>
      <c r="AQ33">
        <f>TTEST(AH33:AH42,AH43:AH52,1,2)</f>
        <v>0.24728624908578556</v>
      </c>
      <c r="AS33">
        <f t="shared" ref="AS33" si="15">TTEST(AJ33:AJ42,AJ43:AJ52,1,2)</f>
        <v>0.13943534708487856</v>
      </c>
    </row>
    <row r="34" spans="2:45" ht="15.75" thickBot="1" x14ac:dyDescent="0.3">
      <c r="B34" s="690"/>
      <c r="C34" s="409" t="s">
        <v>20</v>
      </c>
      <c r="D34" s="570">
        <f t="shared" si="7"/>
        <v>2.3828494475305</v>
      </c>
      <c r="E34" s="570">
        <f t="shared" si="7"/>
        <v>2.6499823209205</v>
      </c>
      <c r="F34" s="570">
        <f t="shared" si="7"/>
        <v>4.8433824415500003E-2</v>
      </c>
      <c r="G34" s="570">
        <f t="shared" si="7"/>
        <v>4.6728456480500002E-2</v>
      </c>
      <c r="H34" s="570">
        <f t="shared" si="7"/>
        <v>3.57698165155E-2</v>
      </c>
      <c r="I34" s="570">
        <f t="shared" si="7"/>
        <v>4.0054602010499998E-2</v>
      </c>
      <c r="J34" s="570">
        <f t="shared" si="7"/>
        <v>7.0626915560500006E-2</v>
      </c>
      <c r="K34" s="570">
        <f t="shared" si="7"/>
        <v>6.5444772450500011E-2</v>
      </c>
      <c r="L34" s="570">
        <f t="shared" si="7"/>
        <v>5.8448490785500004E-2</v>
      </c>
      <c r="M34" s="570">
        <f t="shared" si="7"/>
        <v>5.9889701500500006E-2</v>
      </c>
      <c r="N34" s="570">
        <f t="shared" si="7"/>
        <v>6.6540247980499997E-2</v>
      </c>
      <c r="O34" s="571">
        <f t="shared" si="7"/>
        <v>6.4943650665500008E-2</v>
      </c>
      <c r="P34" s="409" t="s">
        <v>20</v>
      </c>
      <c r="Q34" s="570">
        <f t="shared" si="8"/>
        <v>2.4866912526879998</v>
      </c>
      <c r="R34" s="570">
        <f t="shared" si="8"/>
        <v>2.4590535705619998</v>
      </c>
      <c r="S34" s="570">
        <f t="shared" si="8"/>
        <v>1.5979962882000001E-2</v>
      </c>
      <c r="T34" s="570">
        <f t="shared" si="8"/>
        <v>1.9011148239999998E-2</v>
      </c>
      <c r="U34" s="570">
        <f t="shared" si="8"/>
        <v>1.6488021129999995E-2</v>
      </c>
      <c r="V34" s="570">
        <f t="shared" si="8"/>
        <v>1.5674441367999996E-2</v>
      </c>
      <c r="W34" s="570">
        <f t="shared" si="8"/>
        <v>5.4358957562000002E-2</v>
      </c>
      <c r="X34" s="570">
        <f t="shared" si="8"/>
        <v>5.7132680969999988E-2</v>
      </c>
      <c r="Y34" s="570">
        <f t="shared" si="8"/>
        <v>3.5574533689999993E-2</v>
      </c>
      <c r="Z34" s="570">
        <f t="shared" si="8"/>
        <v>3.4252895679999992E-2</v>
      </c>
      <c r="AA34" s="570">
        <f t="shared" si="8"/>
        <v>3.6724530399999997E-2</v>
      </c>
      <c r="AB34" s="571">
        <f t="shared" si="8"/>
        <v>3.6767144979999982E-3</v>
      </c>
      <c r="AE34" s="645"/>
      <c r="AF34" s="669"/>
      <c r="AG34" s="669"/>
      <c r="AH34" s="255">
        <f t="shared" ref="AH34:AH37" si="16">G37</f>
        <v>3.9728290150500001E-2</v>
      </c>
      <c r="AI34" s="822"/>
      <c r="AJ34" s="255">
        <f t="shared" si="14"/>
        <v>9418.5</v>
      </c>
      <c r="AK34" s="811"/>
      <c r="AP34" t="s">
        <v>497</v>
      </c>
      <c r="AQ34">
        <f>TTEST(AH33:AH42,AH53:AH60,1,2)</f>
        <v>6.5925935436918354E-2</v>
      </c>
      <c r="AS34">
        <f t="shared" ref="AS34" si="17">TTEST(AJ33:AJ42,AJ53:AJ60,1,2)</f>
        <v>3.814702467895352E-2</v>
      </c>
    </row>
    <row r="35" spans="2:45" x14ac:dyDescent="0.25">
      <c r="B35" s="824" t="s">
        <v>101</v>
      </c>
      <c r="C35" s="152" t="s">
        <v>8</v>
      </c>
      <c r="D35" s="153" t="s">
        <v>10</v>
      </c>
      <c r="E35" s="153" t="s">
        <v>489</v>
      </c>
      <c r="F35" s="153" t="s">
        <v>56</v>
      </c>
      <c r="G35" s="572" t="s">
        <v>704</v>
      </c>
      <c r="H35" s="211" t="s">
        <v>200</v>
      </c>
      <c r="I35" s="593" t="s">
        <v>705</v>
      </c>
      <c r="J35" s="211" t="s">
        <v>200</v>
      </c>
      <c r="P35" s="234" t="s">
        <v>8</v>
      </c>
      <c r="Q35" s="153" t="s">
        <v>10</v>
      </c>
      <c r="R35" s="153" t="s">
        <v>489</v>
      </c>
      <c r="S35" s="153" t="s">
        <v>56</v>
      </c>
      <c r="T35" s="572" t="s">
        <v>488</v>
      </c>
      <c r="U35" s="211" t="s">
        <v>200</v>
      </c>
      <c r="V35" s="593" t="s">
        <v>705</v>
      </c>
      <c r="W35" s="211" t="s">
        <v>200</v>
      </c>
      <c r="AE35" s="645"/>
      <c r="AF35" s="669"/>
      <c r="AG35" s="669"/>
      <c r="AH35" s="255">
        <f t="shared" si="16"/>
        <v>4.06295324305E-2</v>
      </c>
      <c r="AI35" s="822"/>
      <c r="AJ35" s="255">
        <f t="shared" si="14"/>
        <v>9650.5</v>
      </c>
      <c r="AK35" s="811"/>
      <c r="AP35" t="s">
        <v>498</v>
      </c>
      <c r="AQ35">
        <f>TTEST(AH43:AH52,AH53:AH60,1,2)</f>
        <v>0.13799414874303861</v>
      </c>
      <c r="AS35">
        <f t="shared" ref="AS35" si="18">TTEST(AJ43:AJ52,AJ53:AJ60,1,2)</f>
        <v>0.16895439612142477</v>
      </c>
    </row>
    <row r="36" spans="2:45" x14ac:dyDescent="0.25">
      <c r="B36" s="825"/>
      <c r="C36" s="754" t="s">
        <v>376</v>
      </c>
      <c r="D36" s="753" t="s">
        <v>149</v>
      </c>
      <c r="E36" s="753" t="s">
        <v>490</v>
      </c>
      <c r="F36" t="s">
        <v>13</v>
      </c>
      <c r="G36" s="255">
        <f>AVERAGE(F27:G27)</f>
        <v>5.8786456640500001E-2</v>
      </c>
      <c r="H36" s="672">
        <f>AVERAGE(G36:G40)</f>
        <v>4.7821601211500003E-2</v>
      </c>
      <c r="I36" s="594">
        <f>AVERAGE(F3:G3)-$O$16</f>
        <v>14324.5</v>
      </c>
      <c r="J36" s="672">
        <f>AVERAGE(I36:I40)</f>
        <v>11501.9</v>
      </c>
      <c r="P36" s="816" t="s">
        <v>457</v>
      </c>
      <c r="Q36" s="813" t="s">
        <v>144</v>
      </c>
      <c r="R36" s="813" t="s">
        <v>492</v>
      </c>
      <c r="S36" s="133" t="s">
        <v>13</v>
      </c>
      <c r="T36" s="255">
        <f>AVERAGE(S27:T27)</f>
        <v>3.0955666306999995E-2</v>
      </c>
      <c r="U36" s="819">
        <f>AVERAGE(T36:T40)</f>
        <v>2.2387332610999996E-2</v>
      </c>
      <c r="V36" s="594">
        <f>AVERAGE(S3:T3)-$AB$17</f>
        <v>13319.5</v>
      </c>
      <c r="W36" s="819">
        <f>AVERAGE(V36:V40)</f>
        <v>10823.5</v>
      </c>
      <c r="AE36" s="645"/>
      <c r="AF36" s="669"/>
      <c r="AG36" s="669"/>
      <c r="AH36" s="255">
        <f t="shared" si="16"/>
        <v>4.9245719400500002E-2</v>
      </c>
      <c r="AI36" s="822"/>
      <c r="AJ36" s="255">
        <f t="shared" si="14"/>
        <v>11868.5</v>
      </c>
      <c r="AK36" s="811"/>
      <c r="AN36" t="s">
        <v>63</v>
      </c>
      <c r="AO36" t="s">
        <v>495</v>
      </c>
      <c r="AP36" t="s">
        <v>490</v>
      </c>
      <c r="AQ36">
        <f>TTEST(AH63:AH67,AH78:AH82,1,2)</f>
        <v>7.397629970277693E-5</v>
      </c>
      <c r="AS36">
        <f t="shared" ref="AS36" si="19">TTEST(AJ63:AJ67,AJ78:AJ82,1,2)</f>
        <v>1.220536975266448E-2</v>
      </c>
    </row>
    <row r="37" spans="2:45" x14ac:dyDescent="0.25">
      <c r="B37" s="825"/>
      <c r="C37" s="755"/>
      <c r="D37" s="669"/>
      <c r="E37" s="669"/>
      <c r="F37" t="s">
        <v>14</v>
      </c>
      <c r="G37" s="255">
        <f t="shared" ref="G37:G43" si="20">AVERAGE(F28:G28)</f>
        <v>3.9728290150500001E-2</v>
      </c>
      <c r="H37" s="672"/>
      <c r="I37" s="594">
        <f t="shared" ref="I37:I43" si="21">AVERAGE(F4:G4)-$O$16</f>
        <v>9418.5</v>
      </c>
      <c r="J37" s="672"/>
      <c r="P37" s="817"/>
      <c r="Q37" s="814"/>
      <c r="R37" s="814"/>
      <c r="S37" s="132" t="s">
        <v>14</v>
      </c>
      <c r="T37">
        <f t="shared" ref="T37:T43" si="22">AVERAGE(S28:T28)</f>
        <v>1.6762647209999999E-2</v>
      </c>
      <c r="U37" s="811"/>
      <c r="V37" s="594">
        <f t="shared" ref="V37:V43" si="23">AVERAGE(S4:T4)-$AB$17</f>
        <v>9185</v>
      </c>
      <c r="W37" s="811"/>
      <c r="AE37" s="645"/>
      <c r="AF37" s="669"/>
      <c r="AG37" s="669"/>
      <c r="AH37" s="255">
        <f t="shared" si="16"/>
        <v>5.0718007435500007E-2</v>
      </c>
      <c r="AI37" s="822"/>
      <c r="AJ37" s="255">
        <f t="shared" si="14"/>
        <v>12247.5</v>
      </c>
      <c r="AK37" s="811"/>
      <c r="AP37" t="s">
        <v>491</v>
      </c>
      <c r="AQ37">
        <f>TTEST(AH68:AH72,AH83:AH87,1,2)</f>
        <v>0.11588296200641583</v>
      </c>
      <c r="AS37">
        <f t="shared" ref="AS37" si="24">TTEST(AJ68:AJ72,AJ83:AJ87,1,2)</f>
        <v>0.41519581929149385</v>
      </c>
    </row>
    <row r="38" spans="2:45" x14ac:dyDescent="0.25">
      <c r="B38" s="825"/>
      <c r="C38" s="755"/>
      <c r="D38" s="669"/>
      <c r="E38" s="669"/>
      <c r="F38" t="s">
        <v>15</v>
      </c>
      <c r="G38" s="255">
        <f t="shared" si="20"/>
        <v>4.06295324305E-2</v>
      </c>
      <c r="H38" s="672"/>
      <c r="I38" s="594">
        <f t="shared" si="21"/>
        <v>9650.5</v>
      </c>
      <c r="J38" s="672"/>
      <c r="P38" s="817"/>
      <c r="Q38" s="814"/>
      <c r="R38" s="814"/>
      <c r="S38" s="132" t="s">
        <v>15</v>
      </c>
      <c r="T38">
        <f t="shared" si="22"/>
        <v>1.4109072711999997E-2</v>
      </c>
      <c r="U38" s="811"/>
      <c r="V38" s="594">
        <f t="shared" si="23"/>
        <v>8412</v>
      </c>
      <c r="W38" s="811"/>
      <c r="AE38" s="645"/>
      <c r="AF38" s="669"/>
      <c r="AG38" s="669"/>
      <c r="AH38" s="255">
        <f>T53</f>
        <v>1.8698761073999995E-2</v>
      </c>
      <c r="AI38" s="822"/>
      <c r="AJ38" s="255">
        <f t="shared" ref="AJ38:AJ42" si="25">V53</f>
        <v>9749</v>
      </c>
      <c r="AK38" s="811"/>
      <c r="AP38" t="s">
        <v>492</v>
      </c>
      <c r="AQ38">
        <f>TTEST(AH73:AH77,AH88:AH92,1,2)</f>
        <v>0.296313126132704</v>
      </c>
      <c r="AS38">
        <f t="shared" ref="AS38" si="26">TTEST(AJ73:AJ77,AJ88:AJ92,1,2)</f>
        <v>0.296313126132704</v>
      </c>
    </row>
    <row r="39" spans="2:45" x14ac:dyDescent="0.25">
      <c r="B39" s="825"/>
      <c r="C39" s="755"/>
      <c r="D39" s="669"/>
      <c r="E39" s="669"/>
      <c r="F39" t="s">
        <v>16</v>
      </c>
      <c r="G39" s="255">
        <f t="shared" si="20"/>
        <v>4.9245719400500002E-2</v>
      </c>
      <c r="H39" s="672"/>
      <c r="I39" s="594">
        <f t="shared" si="21"/>
        <v>11868.5</v>
      </c>
      <c r="J39" s="672"/>
      <c r="P39" s="817"/>
      <c r="Q39" s="814"/>
      <c r="R39" s="814"/>
      <c r="S39" s="132" t="s">
        <v>16</v>
      </c>
      <c r="T39">
        <f t="shared" si="22"/>
        <v>2.0370547335999998E-2</v>
      </c>
      <c r="U39" s="811"/>
      <c r="V39" s="594">
        <f t="shared" si="23"/>
        <v>10236</v>
      </c>
      <c r="W39" s="811"/>
      <c r="AE39" s="645"/>
      <c r="AF39" s="669"/>
      <c r="AG39" s="669"/>
      <c r="AH39" s="255">
        <f t="shared" ref="AH39:AH42" si="27">T54</f>
        <v>3.1170217931999995E-2</v>
      </c>
      <c r="AI39" s="822"/>
      <c r="AJ39" s="255">
        <f t="shared" si="25"/>
        <v>13382</v>
      </c>
      <c r="AK39" s="811"/>
      <c r="AO39" t="s">
        <v>15</v>
      </c>
      <c r="AP39" t="s">
        <v>496</v>
      </c>
      <c r="AQ39">
        <f>TTEST(AH63:AH67,AH68:AH72,1,2)</f>
        <v>6.2624497743988705E-2</v>
      </c>
      <c r="AS39">
        <f t="shared" ref="AS39" si="28">TTEST(AJ63:AJ67,AJ68:AJ72,1,2)</f>
        <v>6.2624497743988761E-2</v>
      </c>
    </row>
    <row r="40" spans="2:45" x14ac:dyDescent="0.25">
      <c r="B40" s="825"/>
      <c r="C40" s="755"/>
      <c r="D40" s="669"/>
      <c r="E40" s="669"/>
      <c r="F40" t="s">
        <v>17</v>
      </c>
      <c r="G40" s="255">
        <f t="shared" si="20"/>
        <v>5.0718007435500007E-2</v>
      </c>
      <c r="H40" s="672"/>
      <c r="I40" s="594">
        <f t="shared" si="21"/>
        <v>12247.5</v>
      </c>
      <c r="J40" s="672"/>
      <c r="P40" s="818"/>
      <c r="Q40" s="815"/>
      <c r="R40" s="815"/>
      <c r="S40" s="134" t="s">
        <v>17</v>
      </c>
      <c r="T40" s="162">
        <f t="shared" si="22"/>
        <v>2.9738729489999994E-2</v>
      </c>
      <c r="U40" s="820"/>
      <c r="V40" s="597">
        <f t="shared" si="23"/>
        <v>12965</v>
      </c>
      <c r="W40" s="820"/>
      <c r="AE40" s="645"/>
      <c r="AF40" s="669"/>
      <c r="AG40" s="669"/>
      <c r="AH40" s="255">
        <f t="shared" si="27"/>
        <v>2.1446738286999993E-2</v>
      </c>
      <c r="AI40" s="822"/>
      <c r="AJ40" s="255">
        <f t="shared" si="25"/>
        <v>10549.5</v>
      </c>
      <c r="AK40" s="811"/>
      <c r="AP40" t="s">
        <v>497</v>
      </c>
      <c r="AQ40">
        <f>TTEST(AH63:AH67,AH73:AH77,1,2)</f>
        <v>0.29981261162217088</v>
      </c>
      <c r="AS40">
        <f t="shared" ref="AS40" si="29">TTEST(AJ63:AJ67,AJ73:AJ77,1,2)</f>
        <v>0.29981261162217088</v>
      </c>
    </row>
    <row r="41" spans="2:45" x14ac:dyDescent="0.25">
      <c r="B41" s="825"/>
      <c r="C41" s="755"/>
      <c r="D41" s="669"/>
      <c r="E41" s="669" t="s">
        <v>491</v>
      </c>
      <c r="F41" t="s">
        <v>13</v>
      </c>
      <c r="G41" s="255">
        <f t="shared" si="20"/>
        <v>5.2586531300500006E-2</v>
      </c>
      <c r="H41" s="672">
        <f>AVERAGE(G41:G45)</f>
        <v>4.8597757278500006E-2</v>
      </c>
      <c r="I41" s="594">
        <f t="shared" si="21"/>
        <v>12728.5</v>
      </c>
      <c r="J41" s="672">
        <f>AVERAGE(I41:I45)</f>
        <v>11701.7</v>
      </c>
      <c r="P41" s="736" t="s">
        <v>459</v>
      </c>
      <c r="Q41" s="814" t="s">
        <v>94</v>
      </c>
      <c r="R41" s="814" t="s">
        <v>490</v>
      </c>
      <c r="S41" s="132" t="s">
        <v>13</v>
      </c>
      <c r="T41">
        <f t="shared" si="22"/>
        <v>3.413274677E-2</v>
      </c>
      <c r="U41" s="819">
        <f>AVERAGE(T41:T45)</f>
        <v>2.1111007904199994E-2</v>
      </c>
      <c r="V41" s="594">
        <f t="shared" si="23"/>
        <v>14245</v>
      </c>
      <c r="W41" s="819">
        <f>AVERAGE(V41:V45)</f>
        <v>10451.700000000001</v>
      </c>
      <c r="AE41" s="645"/>
      <c r="AF41" s="669"/>
      <c r="AG41" s="669"/>
      <c r="AH41" s="255">
        <f t="shared" si="27"/>
        <v>2.9364551455999997E-2</v>
      </c>
      <c r="AI41" s="822"/>
      <c r="AJ41" s="255">
        <f t="shared" si="25"/>
        <v>12856</v>
      </c>
      <c r="AK41" s="811"/>
      <c r="AP41" t="s">
        <v>498</v>
      </c>
      <c r="AQ41">
        <f>TTEST(AH68:AH72,AH73:AH77,1,2)</f>
        <v>8.4344809214704636E-2</v>
      </c>
      <c r="AS41">
        <f t="shared" ref="AS41" si="30">TTEST(AJ68:AJ72,AJ73:AJ77,1,2)</f>
        <v>8.4344809214704705E-2</v>
      </c>
    </row>
    <row r="42" spans="2:45" x14ac:dyDescent="0.25">
      <c r="B42" s="825"/>
      <c r="C42" s="755"/>
      <c r="D42" s="669"/>
      <c r="E42" s="669"/>
      <c r="F42" t="s">
        <v>14</v>
      </c>
      <c r="G42" s="255">
        <f t="shared" si="20"/>
        <v>5.7520055850500004E-2</v>
      </c>
      <c r="H42" s="672"/>
      <c r="I42" s="594">
        <f>AVERAGE(F9:G9)-$O$16</f>
        <v>13998.5</v>
      </c>
      <c r="J42" s="672"/>
      <c r="P42" s="736"/>
      <c r="Q42" s="814"/>
      <c r="R42" s="814"/>
      <c r="S42" s="132" t="s">
        <v>14</v>
      </c>
      <c r="T42">
        <f t="shared" si="22"/>
        <v>3.2291035620999997E-2</v>
      </c>
      <c r="U42" s="811"/>
      <c r="V42" s="594">
        <f t="shared" si="23"/>
        <v>13708.5</v>
      </c>
      <c r="W42" s="811"/>
      <c r="AE42" s="645"/>
      <c r="AF42" s="669"/>
      <c r="AG42" s="669"/>
      <c r="AH42" s="255">
        <f t="shared" si="27"/>
        <v>1.4474668680999996E-2</v>
      </c>
      <c r="AI42" s="822"/>
      <c r="AJ42" s="255">
        <f t="shared" si="25"/>
        <v>8518.5</v>
      </c>
      <c r="AK42" s="811"/>
      <c r="AO42" t="s">
        <v>219</v>
      </c>
      <c r="AP42" t="s">
        <v>496</v>
      </c>
      <c r="AQ42">
        <f>TTEST(AH78:AH82,AH83:AH87,1,2)</f>
        <v>0.17514075728574438</v>
      </c>
      <c r="AS42">
        <f t="shared" ref="AS42" si="31">TTEST(AJ78:AJ82,AJ83:AJ87,1,2)</f>
        <v>0.1751407572857451</v>
      </c>
    </row>
    <row r="43" spans="2:45" x14ac:dyDescent="0.25">
      <c r="B43" s="825"/>
      <c r="C43" s="755"/>
      <c r="D43" s="669"/>
      <c r="E43" s="669"/>
      <c r="F43" t="s">
        <v>15</v>
      </c>
      <c r="G43" s="255">
        <f t="shared" si="20"/>
        <v>4.7581140448000006E-2</v>
      </c>
      <c r="H43" s="672"/>
      <c r="I43" s="594">
        <f t="shared" si="21"/>
        <v>11440</v>
      </c>
      <c r="J43" s="672"/>
      <c r="P43" s="736"/>
      <c r="Q43" s="814"/>
      <c r="R43" s="814"/>
      <c r="S43" s="132" t="s">
        <v>15</v>
      </c>
      <c r="T43">
        <f t="shared" si="22"/>
        <v>1.7495555560999999E-2</v>
      </c>
      <c r="U43" s="811"/>
      <c r="V43" s="594">
        <f t="shared" si="23"/>
        <v>9398.5</v>
      </c>
      <c r="W43" s="811"/>
      <c r="AE43" s="645"/>
      <c r="AF43" s="669"/>
      <c r="AG43" s="669" t="s">
        <v>491</v>
      </c>
      <c r="AH43" s="255">
        <f>G41</f>
        <v>5.2586531300500006E-2</v>
      </c>
      <c r="AI43" s="822">
        <f>AVERAGE(AH43:AH52)</f>
        <v>3.9907502463349995E-2</v>
      </c>
      <c r="AJ43" s="255">
        <f t="shared" ref="AJ43" si="32">I41</f>
        <v>12728.5</v>
      </c>
      <c r="AK43" s="811">
        <f>AVERAGE(AJ43:AJ52)</f>
        <v>12548.7</v>
      </c>
      <c r="AP43" t="s">
        <v>497</v>
      </c>
      <c r="AQ43">
        <f>TTEST(AH78:AH82,AH88:AH92,1,2)</f>
        <v>1.781026422194971E-6</v>
      </c>
      <c r="AS43">
        <f t="shared" ref="AS43" si="33">TTEST(AJ78:AJ82,AJ88:AJ92,1,2)</f>
        <v>1.0734005671003835E-3</v>
      </c>
    </row>
    <row r="44" spans="2:45" x14ac:dyDescent="0.25">
      <c r="B44" s="825"/>
      <c r="C44" s="755"/>
      <c r="D44" s="669"/>
      <c r="E44" s="669"/>
      <c r="F44" t="s">
        <v>16</v>
      </c>
      <c r="G44" s="255">
        <f>AVERAGE(H27:I27)</f>
        <v>4.6429337275499999E-2</v>
      </c>
      <c r="H44" s="672"/>
      <c r="I44" s="594">
        <f>AVERAGE(H3:I3)-$O$16</f>
        <v>11143.5</v>
      </c>
      <c r="J44" s="672"/>
      <c r="P44" s="736"/>
      <c r="Q44" s="814"/>
      <c r="R44" s="814"/>
      <c r="S44" s="132" t="s">
        <v>16</v>
      </c>
      <c r="T44" s="255">
        <f>AVERAGE(U27:V27)</f>
        <v>2.1568603609999994E-2</v>
      </c>
      <c r="U44" s="811"/>
      <c r="V44" s="594">
        <f>AVERAGE(U3:V3)-$AB$17</f>
        <v>10585</v>
      </c>
      <c r="W44" s="811"/>
      <c r="AE44" s="645"/>
      <c r="AF44" s="669"/>
      <c r="AG44" s="669"/>
      <c r="AH44" s="255">
        <f>G42</f>
        <v>5.7520055850500004E-2</v>
      </c>
      <c r="AI44" s="822"/>
      <c r="AJ44" s="255">
        <f t="shared" ref="AJ44" si="34">I42</f>
        <v>13998.5</v>
      </c>
      <c r="AK44" s="811"/>
      <c r="AP44" t="s">
        <v>498</v>
      </c>
      <c r="AQ44">
        <f>TTEST(AH83:AH87,AH88:AH92,1,2)</f>
        <v>1.8219345937832655E-3</v>
      </c>
      <c r="AS44">
        <f t="shared" ref="AS44" si="35">TTEST(AJ83:AJ87,AJ88:AJ92,1,2)</f>
        <v>2.483807893314275E-2</v>
      </c>
    </row>
    <row r="45" spans="2:45" x14ac:dyDescent="0.25">
      <c r="B45" s="825"/>
      <c r="C45" s="755"/>
      <c r="D45" s="669"/>
      <c r="E45" s="669"/>
      <c r="F45" t="s">
        <v>17</v>
      </c>
      <c r="G45" s="255">
        <f t="shared" ref="G45:G51" si="36">AVERAGE(H28:I28)</f>
        <v>3.8871721518000002E-2</v>
      </c>
      <c r="H45" s="672"/>
      <c r="I45" s="594">
        <f t="shared" ref="I45:I51" si="37">AVERAGE(H4:I4)-$O$16</f>
        <v>9198</v>
      </c>
      <c r="J45" s="672"/>
      <c r="P45" s="736"/>
      <c r="Q45" s="814"/>
      <c r="R45" s="815"/>
      <c r="S45" s="134" t="s">
        <v>17</v>
      </c>
      <c r="T45" s="162">
        <f t="shared" ref="T45:T51" si="38">AVERAGE(U28:V28)</f>
        <v>6.7097958999998673E-5</v>
      </c>
      <c r="U45" s="820"/>
      <c r="V45" s="597">
        <f t="shared" ref="V45:V51" si="39">AVERAGE(U4:V4)-$AB$17</f>
        <v>4321.5</v>
      </c>
      <c r="W45" s="820"/>
      <c r="AE45" s="645"/>
      <c r="AF45" s="669"/>
      <c r="AG45" s="669"/>
      <c r="AH45" s="255">
        <f>G43</f>
        <v>4.7581140448000006E-2</v>
      </c>
      <c r="AI45" s="822"/>
      <c r="AJ45" s="255">
        <f t="shared" ref="AJ45" si="40">I43</f>
        <v>11440</v>
      </c>
      <c r="AK45" s="811"/>
      <c r="AN45" t="s">
        <v>499</v>
      </c>
      <c r="AO45" t="s">
        <v>15</v>
      </c>
      <c r="AP45" t="s">
        <v>490</v>
      </c>
      <c r="AQ45">
        <f>TTEST(AH18:AH22,AH63:AH67,1,2)</f>
        <v>5.7776407298523944E-3</v>
      </c>
      <c r="AS45">
        <f t="shared" ref="AS45" si="41">TTEST(AJ18:AJ22,AJ63:AJ67,1,2)</f>
        <v>0.22390348361543577</v>
      </c>
    </row>
    <row r="46" spans="2:45" x14ac:dyDescent="0.25">
      <c r="B46" s="825"/>
      <c r="C46" s="755"/>
      <c r="D46" s="669"/>
      <c r="E46" s="669" t="s">
        <v>492</v>
      </c>
      <c r="F46" t="s">
        <v>13</v>
      </c>
      <c r="G46" s="255">
        <f t="shared" si="36"/>
        <v>6.0423842938000003E-2</v>
      </c>
      <c r="H46" s="672">
        <f>AVERAGE(G46:G50)</f>
        <v>6.258527054400001E-2</v>
      </c>
      <c r="I46" s="594">
        <f t="shared" si="37"/>
        <v>14746</v>
      </c>
      <c r="J46" s="672">
        <f>AVERAGE(I46:I50)</f>
        <v>15302.4</v>
      </c>
      <c r="P46" s="736"/>
      <c r="Q46" s="814"/>
      <c r="R46" s="814" t="s">
        <v>491</v>
      </c>
      <c r="S46" s="132" t="s">
        <v>13</v>
      </c>
      <c r="T46">
        <f t="shared" si="38"/>
        <v>6.000767274499999E-2</v>
      </c>
      <c r="U46" s="676">
        <f>AVERAGE(T46:T47)</f>
        <v>4.4977044103999997E-2</v>
      </c>
      <c r="V46" s="594">
        <f t="shared" si="39"/>
        <v>21782.5</v>
      </c>
      <c r="W46" s="676">
        <f>AVERAGE(V46:V47)</f>
        <v>17404</v>
      </c>
      <c r="AE46" s="645"/>
      <c r="AF46" s="669"/>
      <c r="AG46" s="669"/>
      <c r="AH46" s="255">
        <f>G44</f>
        <v>4.6429337275499999E-2</v>
      </c>
      <c r="AI46" s="822"/>
      <c r="AJ46" s="255">
        <f t="shared" ref="AJ46" si="42">I44</f>
        <v>11143.5</v>
      </c>
      <c r="AK46" s="811"/>
      <c r="AP46" t="s">
        <v>491</v>
      </c>
      <c r="AQ46">
        <f>TTEST(AH23:AH27,AH68:AH72,1,2)</f>
        <v>2.8208007330033088E-2</v>
      </c>
      <c r="AS46">
        <f t="shared" ref="AS46" si="43">TTEST(AJ23:AJ27,AJ68:AJ72,1,2)</f>
        <v>0.49170361935647378</v>
      </c>
    </row>
    <row r="47" spans="2:45" x14ac:dyDescent="0.25">
      <c r="B47" s="825"/>
      <c r="C47" s="755"/>
      <c r="D47" s="669"/>
      <c r="E47" s="669"/>
      <c r="F47" t="s">
        <v>14</v>
      </c>
      <c r="G47" s="255">
        <f t="shared" si="36"/>
        <v>7.65821070055E-2</v>
      </c>
      <c r="H47" s="672"/>
      <c r="I47" s="594">
        <f t="shared" si="37"/>
        <v>18905.5</v>
      </c>
      <c r="J47" s="672"/>
      <c r="P47" s="736"/>
      <c r="Q47" s="814"/>
      <c r="R47" s="815"/>
      <c r="S47" s="134" t="s">
        <v>14</v>
      </c>
      <c r="T47" s="162">
        <f t="shared" si="38"/>
        <v>2.9946415462999997E-2</v>
      </c>
      <c r="U47" s="760"/>
      <c r="V47" s="597">
        <f t="shared" si="39"/>
        <v>13025.5</v>
      </c>
      <c r="W47" s="760"/>
      <c r="AE47" s="645"/>
      <c r="AF47" s="669"/>
      <c r="AG47" s="669"/>
      <c r="AH47" s="255">
        <f>G45</f>
        <v>3.8871721518000002E-2</v>
      </c>
      <c r="AI47" s="822"/>
      <c r="AJ47" s="255">
        <f t="shared" ref="AJ47" si="44">I45</f>
        <v>9198</v>
      </c>
      <c r="AK47" s="811"/>
      <c r="AP47" t="s">
        <v>492</v>
      </c>
      <c r="AQ47">
        <f>TTEST(AH73:AH77,AH28:AH32,1,2)</f>
        <v>1.1343137840228844E-5</v>
      </c>
      <c r="AS47">
        <f t="shared" ref="AS47" si="45">TTEST(AJ73:AJ77,AJ28:AJ32,1,2)</f>
        <v>9.7747748336911278E-4</v>
      </c>
    </row>
    <row r="48" spans="2:45" x14ac:dyDescent="0.25">
      <c r="B48" s="825"/>
      <c r="C48" s="755"/>
      <c r="D48" s="669"/>
      <c r="E48" s="669"/>
      <c r="F48" t="s">
        <v>15</v>
      </c>
      <c r="G48" s="255">
        <f t="shared" si="36"/>
        <v>5.90894605105E-2</v>
      </c>
      <c r="H48" s="672"/>
      <c r="I48" s="594">
        <f t="shared" si="37"/>
        <v>14402.5</v>
      </c>
      <c r="J48" s="672"/>
      <c r="P48" s="736"/>
      <c r="Q48" s="814"/>
      <c r="R48" s="814" t="s">
        <v>492</v>
      </c>
      <c r="S48" s="132" t="s">
        <v>13</v>
      </c>
      <c r="T48">
        <f t="shared" si="38"/>
        <v>2.3309046391999995E-2</v>
      </c>
      <c r="U48" s="819">
        <f>AVERAGE(T48:T52)</f>
        <v>0.11943572660920002</v>
      </c>
      <c r="V48" s="594">
        <f t="shared" si="39"/>
        <v>11092</v>
      </c>
      <c r="W48" s="819">
        <f>AVERAGE(V48:V52)</f>
        <v>39094.199999999997</v>
      </c>
      <c r="AE48" s="645"/>
      <c r="AF48" s="669"/>
      <c r="AG48" s="669"/>
      <c r="AH48" s="255">
        <f>T58</f>
        <v>2.2014870989999998E-2</v>
      </c>
      <c r="AI48" s="822"/>
      <c r="AJ48" s="255">
        <f t="shared" ref="AJ48:AJ52" si="46">V58</f>
        <v>10715</v>
      </c>
      <c r="AK48" s="811"/>
      <c r="AO48" t="s">
        <v>219</v>
      </c>
      <c r="AP48" t="s">
        <v>490</v>
      </c>
      <c r="AQ48">
        <f>TTEST(AH33:AH42,AH78:AH82,1,2)</f>
        <v>6.5356582195758841E-4</v>
      </c>
      <c r="AS48">
        <f t="shared" ref="AS48" si="47">TTEST(AJ33:AJ42,AJ78:AJ82,1,2)</f>
        <v>2.4440721167748807E-4</v>
      </c>
    </row>
    <row r="49" spans="2:46" x14ac:dyDescent="0.25">
      <c r="B49" s="825"/>
      <c r="C49" s="755"/>
      <c r="D49" s="669"/>
      <c r="E49" s="669"/>
      <c r="F49" t="s">
        <v>16</v>
      </c>
      <c r="G49" s="255">
        <f t="shared" si="36"/>
        <v>3.4823900588000001E-2</v>
      </c>
      <c r="H49" s="672"/>
      <c r="I49" s="594">
        <f t="shared" si="37"/>
        <v>8156</v>
      </c>
      <c r="J49" s="672"/>
      <c r="P49" s="736"/>
      <c r="Q49" s="814"/>
      <c r="R49" s="814"/>
      <c r="S49" s="132" t="s">
        <v>14</v>
      </c>
      <c r="T49" s="596">
        <f t="shared" si="38"/>
        <v>0.49498277161799997</v>
      </c>
      <c r="U49" s="811"/>
      <c r="V49" s="594">
        <f t="shared" si="39"/>
        <v>148493</v>
      </c>
      <c r="W49" s="811"/>
      <c r="AE49" s="645"/>
      <c r="AF49" s="669"/>
      <c r="AG49" s="669"/>
      <c r="AH49" s="255">
        <f t="shared" ref="AH49:AH52" si="48">T59</f>
        <v>5.5745819265999995E-2</v>
      </c>
      <c r="AI49" s="822"/>
      <c r="AJ49" s="255">
        <f t="shared" si="46"/>
        <v>20541</v>
      </c>
      <c r="AK49" s="811"/>
      <c r="AP49" t="s">
        <v>491</v>
      </c>
      <c r="AQ49">
        <f>TTEST(AH43:AH52,AH83:AH87,1,2)</f>
        <v>2.5525805168474568E-3</v>
      </c>
      <c r="AS49">
        <f t="shared" ref="AS49" si="49">TTEST(AJ43:AJ52,AJ83:AJ87,1,2)</f>
        <v>1.7679231153875347E-2</v>
      </c>
    </row>
    <row r="50" spans="2:46" x14ac:dyDescent="0.25">
      <c r="B50" s="825"/>
      <c r="C50" s="755"/>
      <c r="D50" s="669"/>
      <c r="E50" s="669"/>
      <c r="F50" t="s">
        <v>17</v>
      </c>
      <c r="G50" s="255">
        <f t="shared" si="36"/>
        <v>8.2007041677999992E-2</v>
      </c>
      <c r="H50" s="672"/>
      <c r="I50" s="594">
        <f t="shared" si="37"/>
        <v>20302</v>
      </c>
      <c r="J50" s="672"/>
      <c r="P50" s="736"/>
      <c r="Q50" s="814"/>
      <c r="R50" s="814"/>
      <c r="S50" s="132" t="s">
        <v>15</v>
      </c>
      <c r="T50">
        <f t="shared" si="38"/>
        <v>2.4328595713999996E-2</v>
      </c>
      <c r="U50" s="811"/>
      <c r="V50" s="594">
        <f t="shared" si="39"/>
        <v>11389</v>
      </c>
      <c r="W50" s="811"/>
      <c r="AE50" s="645"/>
      <c r="AF50" s="669"/>
      <c r="AG50" s="669"/>
      <c r="AH50" s="255">
        <f t="shared" si="48"/>
        <v>2.4447028210999998E-2</v>
      </c>
      <c r="AI50" s="822"/>
      <c r="AJ50" s="255">
        <f t="shared" si="46"/>
        <v>11423.5</v>
      </c>
      <c r="AK50" s="811"/>
      <c r="AP50" t="s">
        <v>492</v>
      </c>
      <c r="AQ50">
        <f>TTEST(AH53:AH62,AH88:AH92,1,2)</f>
        <v>1.6191079483664245E-2</v>
      </c>
      <c r="AS50">
        <f t="shared" ref="AS50" si="50">TTEST(AJ53:AJ62,AJ88:AJ92,1,2)</f>
        <v>7.5110686218225017E-2</v>
      </c>
    </row>
    <row r="51" spans="2:46" x14ac:dyDescent="0.25">
      <c r="B51" s="825"/>
      <c r="C51" s="783" t="s">
        <v>456</v>
      </c>
      <c r="D51" s="753" t="s">
        <v>143</v>
      </c>
      <c r="E51" s="753" t="s">
        <v>490</v>
      </c>
      <c r="F51" s="268" t="s">
        <v>13</v>
      </c>
      <c r="G51" s="573">
        <f t="shared" si="36"/>
        <v>3.7912209262999999E-2</v>
      </c>
      <c r="H51" s="676">
        <f>AVERAGE(G51:G55)</f>
        <v>5.1661204097500003E-2</v>
      </c>
      <c r="I51" s="594">
        <f t="shared" si="37"/>
        <v>8951</v>
      </c>
      <c r="J51" s="672">
        <f>AVERAGE(I51:I55)</f>
        <v>12490.3</v>
      </c>
      <c r="P51" s="736"/>
      <c r="Q51" s="814"/>
      <c r="R51" s="814"/>
      <c r="S51" s="132" t="s">
        <v>16</v>
      </c>
      <c r="T51">
        <f t="shared" si="38"/>
        <v>1.6081231248999996E-2</v>
      </c>
      <c r="U51" s="811"/>
      <c r="V51" s="594">
        <f t="shared" si="39"/>
        <v>8986.5</v>
      </c>
      <c r="W51" s="811"/>
      <c r="AE51" s="645"/>
      <c r="AF51" s="669"/>
      <c r="AG51" s="669"/>
      <c r="AH51" s="255">
        <f t="shared" si="48"/>
        <v>2.9476118300999998E-2</v>
      </c>
      <c r="AI51" s="822"/>
      <c r="AJ51" s="255">
        <f t="shared" si="46"/>
        <v>12888.5</v>
      </c>
      <c r="AK51" s="811"/>
    </row>
    <row r="52" spans="2:46" x14ac:dyDescent="0.25">
      <c r="B52" s="825"/>
      <c r="C52" s="645"/>
      <c r="D52" s="669"/>
      <c r="E52" s="669"/>
      <c r="F52" t="s">
        <v>14</v>
      </c>
      <c r="G52" s="255">
        <f>AVERAGE(J27:K27)</f>
        <v>6.7272507332999998E-2</v>
      </c>
      <c r="H52" s="672"/>
      <c r="I52" s="594">
        <f>AVERAGE(J3:K3)-$O$16</f>
        <v>16509</v>
      </c>
      <c r="J52" s="672"/>
      <c r="P52" s="795"/>
      <c r="Q52" s="815"/>
      <c r="R52" s="815"/>
      <c r="S52" s="134" t="s">
        <v>17</v>
      </c>
      <c r="T52" s="258">
        <f>AVERAGE(W27:X27)</f>
        <v>3.8476988072999999E-2</v>
      </c>
      <c r="U52" s="820"/>
      <c r="V52" s="597">
        <f>AVERAGE(W3:X3)-$AB$17</f>
        <v>15510.5</v>
      </c>
      <c r="W52" s="820"/>
      <c r="AE52" s="645"/>
      <c r="AF52" s="669"/>
      <c r="AG52" s="669"/>
      <c r="AH52" s="255">
        <f t="shared" si="48"/>
        <v>2.4402401472999994E-2</v>
      </c>
      <c r="AI52" s="822"/>
      <c r="AJ52" s="255">
        <f t="shared" si="46"/>
        <v>11410.5</v>
      </c>
      <c r="AK52" s="811"/>
    </row>
    <row r="53" spans="2:46" x14ac:dyDescent="0.25">
      <c r="B53" s="825"/>
      <c r="C53" s="645"/>
      <c r="D53" s="669"/>
      <c r="E53" s="669"/>
      <c r="F53" t="s">
        <v>15</v>
      </c>
      <c r="G53" s="255">
        <f t="shared" ref="G53:G59" si="51">AVERAGE(J28:K28)</f>
        <v>3.1607397968000002E-2</v>
      </c>
      <c r="H53" s="672"/>
      <c r="I53" s="594">
        <f t="shared" ref="I53:I59" si="52">AVERAGE(J4:K4)-$O$16</f>
        <v>7328</v>
      </c>
      <c r="J53" s="672"/>
      <c r="P53" s="736" t="s">
        <v>461</v>
      </c>
      <c r="Q53" s="814" t="s">
        <v>149</v>
      </c>
      <c r="R53" s="814" t="s">
        <v>490</v>
      </c>
      <c r="S53" s="132" t="s">
        <v>13</v>
      </c>
      <c r="T53">
        <f t="shared" ref="T53:T59" si="53">AVERAGE(W28:X28)</f>
        <v>1.8698761073999995E-2</v>
      </c>
      <c r="U53" s="819">
        <f>AVERAGE(T53:T57)</f>
        <v>2.3030987486E-2</v>
      </c>
      <c r="V53" s="594">
        <f t="shared" ref="V53:V59" si="54">AVERAGE(W4:X4)-$AB$17</f>
        <v>9749</v>
      </c>
      <c r="W53" s="819">
        <f>AVERAGE(V53:V57)</f>
        <v>11011</v>
      </c>
      <c r="AE53" s="645"/>
      <c r="AF53" s="669"/>
      <c r="AG53" s="669" t="s">
        <v>492</v>
      </c>
      <c r="AH53" s="255">
        <f>G46</f>
        <v>6.0423842938000003E-2</v>
      </c>
      <c r="AI53" s="822">
        <f>AVERAGE(AH53:AH62)</f>
        <v>5.0139730328624996E-2</v>
      </c>
      <c r="AJ53" s="255">
        <f t="shared" ref="AJ53" si="55">I46</f>
        <v>14746</v>
      </c>
      <c r="AK53" s="811">
        <f>AVERAGE(AJ53:AJ62)</f>
        <v>14388.5625</v>
      </c>
      <c r="AP53" t="s">
        <v>502</v>
      </c>
      <c r="AQ53" t="s">
        <v>503</v>
      </c>
      <c r="AR53" t="s">
        <v>504</v>
      </c>
    </row>
    <row r="54" spans="2:46" x14ac:dyDescent="0.25">
      <c r="B54" s="825"/>
      <c r="C54" s="645"/>
      <c r="D54" s="669"/>
      <c r="E54" s="669"/>
      <c r="F54" t="s">
        <v>16</v>
      </c>
      <c r="G54" s="255">
        <f t="shared" si="51"/>
        <v>6.2640044320500007E-2</v>
      </c>
      <c r="H54" s="672"/>
      <c r="I54" s="594">
        <f t="shared" si="52"/>
        <v>15316.5</v>
      </c>
      <c r="J54" s="672"/>
      <c r="P54" s="736"/>
      <c r="Q54" s="814"/>
      <c r="R54" s="814"/>
      <c r="S54" s="132" t="s">
        <v>14</v>
      </c>
      <c r="T54">
        <f t="shared" si="53"/>
        <v>3.1170217931999995E-2</v>
      </c>
      <c r="U54" s="811"/>
      <c r="V54" s="594">
        <f t="shared" si="54"/>
        <v>13382</v>
      </c>
      <c r="W54" s="811"/>
      <c r="AE54" s="645"/>
      <c r="AF54" s="669"/>
      <c r="AG54" s="669"/>
      <c r="AH54" s="255">
        <f>G47</f>
        <v>7.65821070055E-2</v>
      </c>
      <c r="AI54" s="822"/>
      <c r="AJ54" s="255">
        <f t="shared" ref="AJ54" si="56">I47</f>
        <v>18905.5</v>
      </c>
      <c r="AK54" s="811"/>
      <c r="AM54" t="s">
        <v>42</v>
      </c>
      <c r="AN54" t="s">
        <v>15</v>
      </c>
      <c r="AO54" t="s">
        <v>490</v>
      </c>
      <c r="AP54" s="255">
        <f>AVERAGE(AH18:AH22)</f>
        <v>5.1661204097500003E-2</v>
      </c>
      <c r="AQ54">
        <f>STDEV(AH18:AH22)</f>
        <v>1.5870256369095156E-2</v>
      </c>
      <c r="AR54">
        <f>COUNT(AH18:AH22)</f>
        <v>5</v>
      </c>
    </row>
    <row r="55" spans="2:46" x14ac:dyDescent="0.25">
      <c r="B55" s="825"/>
      <c r="C55" s="645"/>
      <c r="D55" s="669"/>
      <c r="E55" s="669"/>
      <c r="F55" t="s">
        <v>17</v>
      </c>
      <c r="G55" s="255">
        <f t="shared" si="51"/>
        <v>5.8873861603000004E-2</v>
      </c>
      <c r="H55" s="672"/>
      <c r="I55" s="594">
        <f t="shared" si="52"/>
        <v>14347</v>
      </c>
      <c r="J55" s="672"/>
      <c r="P55" s="736"/>
      <c r="Q55" s="814"/>
      <c r="R55" s="814"/>
      <c r="S55" s="132" t="s">
        <v>15</v>
      </c>
      <c r="T55">
        <f t="shared" si="53"/>
        <v>2.1446738286999993E-2</v>
      </c>
      <c r="U55" s="811"/>
      <c r="V55" s="594">
        <f t="shared" si="54"/>
        <v>10549.5</v>
      </c>
      <c r="W55" s="811"/>
      <c r="AE55" s="645"/>
      <c r="AF55" s="669"/>
      <c r="AG55" s="669"/>
      <c r="AH55" s="255">
        <f>G48</f>
        <v>5.90894605105E-2</v>
      </c>
      <c r="AI55" s="822"/>
      <c r="AJ55" s="255">
        <f t="shared" ref="AJ55" si="57">I48</f>
        <v>14402.5</v>
      </c>
      <c r="AK55" s="811"/>
      <c r="AO55" t="s">
        <v>491</v>
      </c>
      <c r="AP55" s="255">
        <f>AVERAGE(AH23:AH27)</f>
        <v>7.0997124135000006E-2</v>
      </c>
      <c r="AQ55">
        <f>STDEV(AH23:AH27)</f>
        <v>9.2165469620533388E-3</v>
      </c>
      <c r="AR55">
        <f>COUNT(AH23:AH27)</f>
        <v>5</v>
      </c>
    </row>
    <row r="56" spans="2:46" x14ac:dyDescent="0.25">
      <c r="B56" s="825"/>
      <c r="C56" s="645"/>
      <c r="D56" s="669"/>
      <c r="E56" s="669" t="s">
        <v>491</v>
      </c>
      <c r="F56" t="s">
        <v>13</v>
      </c>
      <c r="G56" s="255">
        <f t="shared" si="51"/>
        <v>5.9493465670500005E-2</v>
      </c>
      <c r="H56" s="672">
        <f>AVERAGE(G56:G60)</f>
        <v>7.0997124135000006E-2</v>
      </c>
      <c r="I56" s="594">
        <f t="shared" si="52"/>
        <v>14506.5</v>
      </c>
      <c r="J56" s="672">
        <f>AVERAGE(I56:I60)</f>
        <v>17467.8</v>
      </c>
      <c r="P56" s="736"/>
      <c r="Q56" s="814"/>
      <c r="R56" s="814"/>
      <c r="S56" s="132" t="s">
        <v>16</v>
      </c>
      <c r="T56">
        <f t="shared" si="53"/>
        <v>2.9364551455999997E-2</v>
      </c>
      <c r="U56" s="811"/>
      <c r="V56" s="594">
        <f t="shared" si="54"/>
        <v>12856</v>
      </c>
      <c r="W56" s="811"/>
      <c r="AE56" s="645"/>
      <c r="AF56" s="669"/>
      <c r="AG56" s="669"/>
      <c r="AH56" s="255">
        <f>G49</f>
        <v>3.4823900588000001E-2</v>
      </c>
      <c r="AI56" s="822"/>
      <c r="AJ56" s="255">
        <f t="shared" ref="AJ56" si="58">I49</f>
        <v>8156</v>
      </c>
      <c r="AK56" s="811"/>
      <c r="AO56" t="s">
        <v>492</v>
      </c>
      <c r="AP56" s="255">
        <f>AVERAGE(AH28:AH32)</f>
        <v>7.4864308142500002E-2</v>
      </c>
      <c r="AQ56">
        <f>STDEV(AH28:AH32)</f>
        <v>5.5187709034259626E-3</v>
      </c>
      <c r="AR56">
        <f>COUNT(AH28:AH32)</f>
        <v>5</v>
      </c>
    </row>
    <row r="57" spans="2:46" x14ac:dyDescent="0.25">
      <c r="B57" s="825"/>
      <c r="C57" s="645"/>
      <c r="D57" s="669"/>
      <c r="E57" s="669"/>
      <c r="F57" t="s">
        <v>14</v>
      </c>
      <c r="G57" s="255">
        <f t="shared" si="51"/>
        <v>7.4385328948000012E-2</v>
      </c>
      <c r="H57" s="672"/>
      <c r="I57" s="594">
        <f t="shared" si="52"/>
        <v>18340</v>
      </c>
      <c r="J57" s="672"/>
      <c r="P57" s="736"/>
      <c r="Q57" s="814"/>
      <c r="R57" s="815"/>
      <c r="S57" s="134" t="s">
        <v>17</v>
      </c>
      <c r="T57" s="162">
        <f t="shared" si="53"/>
        <v>1.4474668680999996E-2</v>
      </c>
      <c r="U57" s="820"/>
      <c r="V57" s="597">
        <f t="shared" si="54"/>
        <v>8518.5</v>
      </c>
      <c r="W57" s="820"/>
      <c r="AE57" s="645"/>
      <c r="AF57" s="669"/>
      <c r="AG57" s="669"/>
      <c r="AH57" s="255">
        <f>G50</f>
        <v>8.2007041677999992E-2</v>
      </c>
      <c r="AI57" s="822"/>
      <c r="AJ57" s="255">
        <f t="shared" ref="AJ57" si="59">I50</f>
        <v>20302</v>
      </c>
      <c r="AK57" s="811"/>
      <c r="AN57" t="s">
        <v>219</v>
      </c>
      <c r="AO57" t="s">
        <v>490</v>
      </c>
      <c r="AP57" s="255">
        <f>AVERAGE(AH33:AH42)</f>
        <v>3.5426294348749998E-2</v>
      </c>
      <c r="AQ57">
        <f>STDEV(AH33:AH42)</f>
        <v>1.4851707433546663E-2</v>
      </c>
      <c r="AR57">
        <f>COUNT(AH33:AH42)</f>
        <v>10</v>
      </c>
    </row>
    <row r="58" spans="2:46" x14ac:dyDescent="0.25">
      <c r="B58" s="825"/>
      <c r="C58" s="645"/>
      <c r="D58" s="669"/>
      <c r="E58" s="669"/>
      <c r="F58" t="s">
        <v>15</v>
      </c>
      <c r="G58" s="255">
        <f t="shared" si="51"/>
        <v>6.8603005095500005E-2</v>
      </c>
      <c r="H58" s="672"/>
      <c r="I58" s="594">
        <f t="shared" si="52"/>
        <v>16851.5</v>
      </c>
      <c r="J58" s="672"/>
      <c r="P58" s="736"/>
      <c r="Q58" s="814"/>
      <c r="R58" s="814" t="s">
        <v>491</v>
      </c>
      <c r="S58" s="132" t="s">
        <v>13</v>
      </c>
      <c r="T58">
        <f t="shared" si="53"/>
        <v>2.2014870989999998E-2</v>
      </c>
      <c r="U58" s="819">
        <f>AVERAGE(T58:T62)</f>
        <v>3.1217247648199997E-2</v>
      </c>
      <c r="V58" s="594">
        <f t="shared" si="54"/>
        <v>10715</v>
      </c>
      <c r="W58" s="819">
        <f>AVERAGE(V58:V62)</f>
        <v>13395.7</v>
      </c>
      <c r="AE58" s="645"/>
      <c r="AF58" s="669"/>
      <c r="AG58" s="669"/>
      <c r="AH58" s="255">
        <f>T63</f>
        <v>4.9295539211999993E-2</v>
      </c>
      <c r="AI58" s="822"/>
      <c r="AJ58" s="255">
        <f t="shared" ref="AJ58:AJ60" si="60">V63</f>
        <v>18662</v>
      </c>
      <c r="AK58" s="811"/>
      <c r="AO58" t="s">
        <v>491</v>
      </c>
      <c r="AP58" s="255">
        <f>AVERAGE(AH43:AH52)</f>
        <v>3.9907502463349995E-2</v>
      </c>
      <c r="AQ58">
        <f>STDEV(AH43:AH52)</f>
        <v>1.3875231477648523E-2</v>
      </c>
      <c r="AR58">
        <f>COUNT(AH43:AH52)</f>
        <v>10</v>
      </c>
      <c r="AT58" s="105" t="s">
        <v>706</v>
      </c>
    </row>
    <row r="59" spans="2:46" x14ac:dyDescent="0.25">
      <c r="B59" s="825"/>
      <c r="C59" s="645"/>
      <c r="D59" s="669"/>
      <c r="E59" s="669"/>
      <c r="F59" t="s">
        <v>16</v>
      </c>
      <c r="G59" s="255">
        <f t="shared" si="51"/>
        <v>6.8035844005500001E-2</v>
      </c>
      <c r="H59" s="672"/>
      <c r="I59" s="594">
        <f t="shared" si="52"/>
        <v>16705.5</v>
      </c>
      <c r="J59" s="672"/>
      <c r="P59" s="736"/>
      <c r="Q59" s="814"/>
      <c r="R59" s="814"/>
      <c r="S59" s="132" t="s">
        <v>14</v>
      </c>
      <c r="T59">
        <f t="shared" si="53"/>
        <v>5.5745819265999995E-2</v>
      </c>
      <c r="U59" s="811"/>
      <c r="V59" s="594">
        <f t="shared" si="54"/>
        <v>20541</v>
      </c>
      <c r="W59" s="811"/>
      <c r="AE59" s="645"/>
      <c r="AF59" s="669"/>
      <c r="AG59" s="669"/>
      <c r="AH59" s="255">
        <f t="shared" ref="AH59:AH60" si="61">T64</f>
        <v>2.6511873049999995E-2</v>
      </c>
      <c r="AI59" s="822"/>
      <c r="AJ59" s="255">
        <f t="shared" si="60"/>
        <v>12025</v>
      </c>
      <c r="AK59" s="811"/>
      <c r="AO59" t="s">
        <v>492</v>
      </c>
      <c r="AP59" s="255">
        <f>AVERAGE(AH53:AH62)</f>
        <v>5.0139730328624996E-2</v>
      </c>
      <c r="AQ59">
        <f>STDEV(AH53:AH62)</f>
        <v>2.4259424406462827E-2</v>
      </c>
      <c r="AR59">
        <f>COUNT(AH53:AH62)</f>
        <v>8</v>
      </c>
    </row>
    <row r="60" spans="2:46" x14ac:dyDescent="0.25">
      <c r="B60" s="825"/>
      <c r="C60" s="645"/>
      <c r="D60" s="669"/>
      <c r="E60" s="669"/>
      <c r="F60" t="s">
        <v>17</v>
      </c>
      <c r="G60" s="255">
        <f>AVERAGE(L27:M27)</f>
        <v>8.4467976955500013E-2</v>
      </c>
      <c r="H60" s="672"/>
      <c r="I60" s="594">
        <f>AVERAGE(L3:M3)-$O$16</f>
        <v>20935.5</v>
      </c>
      <c r="J60" s="672"/>
      <c r="P60" s="736"/>
      <c r="Q60" s="814"/>
      <c r="R60" s="814"/>
      <c r="S60" s="132" t="s">
        <v>15</v>
      </c>
      <c r="T60" s="255">
        <f>AVERAGE(Y27:Z27)</f>
        <v>2.4447028210999998E-2</v>
      </c>
      <c r="U60" s="811"/>
      <c r="V60" s="594">
        <f>AVERAGE(Y3:Z3)-$AB$17</f>
        <v>11423.5</v>
      </c>
      <c r="W60" s="811"/>
      <c r="AE60" s="645"/>
      <c r="AF60" s="669"/>
      <c r="AG60" s="669"/>
      <c r="AH60" s="255">
        <f t="shared" si="61"/>
        <v>1.2384077646999997E-2</v>
      </c>
      <c r="AI60" s="822"/>
      <c r="AJ60" s="255">
        <f t="shared" si="60"/>
        <v>7909.5</v>
      </c>
      <c r="AK60" s="811"/>
      <c r="AM60" t="s">
        <v>63</v>
      </c>
      <c r="AN60" t="s">
        <v>15</v>
      </c>
      <c r="AO60" t="s">
        <v>490</v>
      </c>
      <c r="AP60" s="255">
        <f>AVERAGE(AH63:AH67)</f>
        <v>2.1111007904199994E-2</v>
      </c>
      <c r="AQ60">
        <f>STDEV(AH28:AH63)</f>
        <v>2.0517677000305878E-2</v>
      </c>
      <c r="AR60">
        <f>COUNT(AH63:AH67)</f>
        <v>5</v>
      </c>
    </row>
    <row r="61" spans="2:46" x14ac:dyDescent="0.25">
      <c r="B61" s="825"/>
      <c r="C61" s="645"/>
      <c r="D61" s="669"/>
      <c r="E61" s="669" t="s">
        <v>492</v>
      </c>
      <c r="F61" t="s">
        <v>13</v>
      </c>
      <c r="G61" s="255">
        <f t="shared" ref="G61:G67" si="62">AVERAGE(L28:M28)</f>
        <v>7.1687429105500008E-2</v>
      </c>
      <c r="H61" s="672">
        <f>AVERAGE(G61:G65)</f>
        <v>7.4864308142500002E-2</v>
      </c>
      <c r="I61" s="594">
        <f t="shared" ref="I61:I66" si="63">AVERAGE(L4:M4)-$O$16</f>
        <v>17645.5</v>
      </c>
      <c r="J61" s="672">
        <f>AVERAGE(I61:I65)</f>
        <v>18463.3</v>
      </c>
      <c r="P61" s="736"/>
      <c r="Q61" s="814"/>
      <c r="R61" s="814"/>
      <c r="S61" s="132" t="s">
        <v>16</v>
      </c>
      <c r="T61">
        <f t="shared" ref="T61:T67" si="64">AVERAGE(Y28:Z28)</f>
        <v>2.9476118300999998E-2</v>
      </c>
      <c r="U61" s="811"/>
      <c r="V61" s="594">
        <f t="shared" ref="V61:V66" si="65">AVERAGE(Y4:Z4)-$AB$17</f>
        <v>12888.5</v>
      </c>
      <c r="W61" s="811"/>
      <c r="AE61" s="645"/>
      <c r="AF61" s="669"/>
      <c r="AG61" s="669"/>
      <c r="AH61" s="255"/>
      <c r="AI61" s="822"/>
      <c r="AJ61" s="255"/>
      <c r="AK61" s="811"/>
      <c r="AO61" t="s">
        <v>491</v>
      </c>
      <c r="AP61" s="255">
        <f>AVERAGE(AH68:AH69)</f>
        <v>4.4977044103999997E-2</v>
      </c>
      <c r="AQ61">
        <f>STDEV(AH68:AH69)</f>
        <v>2.1256518875095668E-2</v>
      </c>
      <c r="AR61">
        <f>COUNT(AH68:AH69)</f>
        <v>2</v>
      </c>
    </row>
    <row r="62" spans="2:46" ht="15.75" thickBot="1" x14ac:dyDescent="0.3">
      <c r="B62" s="825"/>
      <c r="C62" s="645"/>
      <c r="D62" s="669"/>
      <c r="E62" s="669"/>
      <c r="F62" t="s">
        <v>14</v>
      </c>
      <c r="G62" s="255">
        <f t="shared" si="62"/>
        <v>8.2292564555500006E-2</v>
      </c>
      <c r="H62" s="672"/>
      <c r="I62" s="594">
        <f t="shared" si="63"/>
        <v>20375.5</v>
      </c>
      <c r="J62" s="672"/>
      <c r="P62" s="736"/>
      <c r="Q62" s="814"/>
      <c r="R62" s="815"/>
      <c r="S62" s="134" t="s">
        <v>17</v>
      </c>
      <c r="T62" s="162">
        <f t="shared" si="64"/>
        <v>2.4402401472999994E-2</v>
      </c>
      <c r="U62" s="820"/>
      <c r="V62" s="597">
        <f t="shared" si="65"/>
        <v>11410.5</v>
      </c>
      <c r="W62" s="820"/>
      <c r="AE62" s="646"/>
      <c r="AF62" s="684"/>
      <c r="AG62" s="684"/>
      <c r="AH62" s="256"/>
      <c r="AI62" s="823"/>
      <c r="AJ62" s="256"/>
      <c r="AK62" s="812"/>
      <c r="AO62" t="s">
        <v>492</v>
      </c>
      <c r="AP62" s="255">
        <f>AVERAGE(AH73:AH77)</f>
        <v>2.5548965356999995E-2</v>
      </c>
      <c r="AQ62">
        <f>STDEV(AH73:AH77)</f>
        <v>9.3680004896192891E-3</v>
      </c>
      <c r="AR62">
        <f>COUNT(AH73:AH77)</f>
        <v>4</v>
      </c>
    </row>
    <row r="63" spans="2:46" x14ac:dyDescent="0.25">
      <c r="B63" s="825"/>
      <c r="C63" s="645"/>
      <c r="D63" s="669"/>
      <c r="E63" s="669"/>
      <c r="F63" t="s">
        <v>15</v>
      </c>
      <c r="G63" s="255">
        <f t="shared" si="62"/>
        <v>6.7806648770499994E-2</v>
      </c>
      <c r="H63" s="672"/>
      <c r="I63" s="594">
        <f t="shared" si="63"/>
        <v>16646.5</v>
      </c>
      <c r="J63" s="672"/>
      <c r="P63" s="736"/>
      <c r="Q63" s="814"/>
      <c r="R63" s="814" t="s">
        <v>492</v>
      </c>
      <c r="S63" s="132" t="s">
        <v>13</v>
      </c>
      <c r="T63">
        <f t="shared" si="64"/>
        <v>4.9295539211999993E-2</v>
      </c>
      <c r="U63" s="676">
        <f>AVERAGE(T63:T65)</f>
        <v>2.9397163303000001E-2</v>
      </c>
      <c r="V63" s="594">
        <f t="shared" si="65"/>
        <v>18662</v>
      </c>
      <c r="W63" s="676">
        <f>AVERAGE(V63:V65)</f>
        <v>12865.5</v>
      </c>
      <c r="AE63" s="644" t="s">
        <v>409</v>
      </c>
      <c r="AF63" s="701" t="s">
        <v>15</v>
      </c>
      <c r="AG63" s="701" t="s">
        <v>490</v>
      </c>
      <c r="AH63" s="582">
        <f t="shared" ref="AH63:AH69" si="66">T41</f>
        <v>3.413274677E-2</v>
      </c>
      <c r="AI63" s="821">
        <f>AVERAGE(AH63:AH67)</f>
        <v>2.1111007904199994E-2</v>
      </c>
      <c r="AJ63" s="582">
        <f t="shared" ref="AJ63:AJ69" si="67">V41</f>
        <v>14245</v>
      </c>
      <c r="AK63" s="810">
        <f>AVERAGE(AJ63:AJ67)</f>
        <v>10451.700000000001</v>
      </c>
      <c r="AN63" t="s">
        <v>219</v>
      </c>
      <c r="AO63" t="s">
        <v>490</v>
      </c>
      <c r="AP63" s="255">
        <f>AVERAGE(AH78:AH82)</f>
        <v>6.3256152189500009E-2</v>
      </c>
      <c r="AQ63">
        <f>STDEV(AH78:AH82)</f>
        <v>2.8926099616894204E-3</v>
      </c>
      <c r="AR63">
        <f>COUNT(AH78:AH82)</f>
        <v>5</v>
      </c>
    </row>
    <row r="64" spans="2:46" x14ac:dyDescent="0.25">
      <c r="B64" s="825"/>
      <c r="C64" s="645"/>
      <c r="D64" s="669"/>
      <c r="E64" s="669"/>
      <c r="F64" t="s">
        <v>16</v>
      </c>
      <c r="G64" s="255">
        <f t="shared" si="62"/>
        <v>7.7452271965500002E-2</v>
      </c>
      <c r="H64" s="672"/>
      <c r="I64" s="594">
        <f t="shared" si="63"/>
        <v>19129.5</v>
      </c>
      <c r="J64" s="672"/>
      <c r="P64" s="736"/>
      <c r="Q64" s="814"/>
      <c r="R64" s="814"/>
      <c r="S64" s="132" t="s">
        <v>14</v>
      </c>
      <c r="T64">
        <f t="shared" si="64"/>
        <v>2.6511873049999995E-2</v>
      </c>
      <c r="U64" s="672"/>
      <c r="V64" s="594">
        <f t="shared" si="65"/>
        <v>12025</v>
      </c>
      <c r="W64" s="672"/>
      <c r="AE64" s="645"/>
      <c r="AF64" s="669"/>
      <c r="AG64" s="669"/>
      <c r="AH64" s="255">
        <f t="shared" si="66"/>
        <v>3.2291035620999997E-2</v>
      </c>
      <c r="AI64" s="822"/>
      <c r="AJ64" s="255">
        <f t="shared" si="67"/>
        <v>13708.5</v>
      </c>
      <c r="AK64" s="811"/>
      <c r="AO64" t="s">
        <v>491</v>
      </c>
      <c r="AP64" s="255">
        <f>AVERAGE(AH83:AH87)</f>
        <v>7.597843006450003E-2</v>
      </c>
      <c r="AQ64">
        <f>STDEV(AH83:AH87)</f>
        <v>2.8533046374300916E-2</v>
      </c>
      <c r="AR64">
        <f>COUNT(AH83:AH87)</f>
        <v>5</v>
      </c>
    </row>
    <row r="65" spans="2:46" x14ac:dyDescent="0.25">
      <c r="B65" s="825"/>
      <c r="C65" s="784"/>
      <c r="D65" s="670"/>
      <c r="E65" s="670"/>
      <c r="F65" s="162" t="s">
        <v>17</v>
      </c>
      <c r="G65" s="258">
        <f t="shared" si="62"/>
        <v>7.5082626315500001E-2</v>
      </c>
      <c r="H65" s="760"/>
      <c r="I65" s="594">
        <f t="shared" si="63"/>
        <v>18519.5</v>
      </c>
      <c r="J65" s="672"/>
      <c r="P65" s="795"/>
      <c r="Q65" s="815"/>
      <c r="R65" s="815"/>
      <c r="S65" s="134" t="s">
        <v>15</v>
      </c>
      <c r="T65" s="162">
        <f t="shared" si="64"/>
        <v>1.2384077646999997E-2</v>
      </c>
      <c r="U65" s="760"/>
      <c r="V65" s="597">
        <f t="shared" si="65"/>
        <v>7909.5</v>
      </c>
      <c r="W65" s="760"/>
      <c r="AE65" s="645"/>
      <c r="AF65" s="669"/>
      <c r="AG65" s="669"/>
      <c r="AH65" s="255">
        <f t="shared" si="66"/>
        <v>1.7495555560999999E-2</v>
      </c>
      <c r="AI65" s="822"/>
      <c r="AJ65" s="255">
        <f t="shared" si="67"/>
        <v>9398.5</v>
      </c>
      <c r="AK65" s="811"/>
      <c r="AO65" t="s">
        <v>492</v>
      </c>
      <c r="AP65" s="255">
        <f>AVERAGE(AH88:AH92)</f>
        <v>2.2387332610999996E-2</v>
      </c>
      <c r="AQ65">
        <f>STDEV(AH88:AH92)</f>
        <v>7.6107403394750422E-3</v>
      </c>
      <c r="AR65">
        <f>COUNT(AH88:AH92)</f>
        <v>5</v>
      </c>
    </row>
    <row r="66" spans="2:46" x14ac:dyDescent="0.25">
      <c r="B66" s="825"/>
      <c r="C66" s="783" t="s">
        <v>457</v>
      </c>
      <c r="D66" s="813" t="s">
        <v>144</v>
      </c>
      <c r="E66" s="753" t="s">
        <v>490</v>
      </c>
      <c r="F66" s="268" t="s">
        <v>13</v>
      </c>
      <c r="G66" s="573">
        <f t="shared" si="62"/>
        <v>6.5673967685500018E-2</v>
      </c>
      <c r="H66" s="676">
        <f>AVERAGE(G66:G70)</f>
        <v>6.3256152189500009E-2</v>
      </c>
      <c r="I66" s="594">
        <f t="shared" si="63"/>
        <v>16097.5</v>
      </c>
      <c r="J66" s="672">
        <f>AVERAGE(I66:I70)</f>
        <v>15475.1</v>
      </c>
      <c r="P66" s="736" t="s">
        <v>500</v>
      </c>
      <c r="Q66" s="814" t="s">
        <v>501</v>
      </c>
      <c r="R66" s="814" t="s">
        <v>490</v>
      </c>
      <c r="S66" s="132" t="s">
        <v>13</v>
      </c>
      <c r="T66">
        <f t="shared" si="64"/>
        <v>3.375341949699999E-2</v>
      </c>
      <c r="U66" s="819">
        <f>AVERAGE(T66:T70)</f>
        <v>3.4843685034599996E-2</v>
      </c>
      <c r="V66" s="594">
        <f t="shared" si="65"/>
        <v>14134.5</v>
      </c>
      <c r="W66" s="819">
        <f>AVERAGE(V66:V70)</f>
        <v>14452.1</v>
      </c>
      <c r="AE66" s="645"/>
      <c r="AF66" s="669"/>
      <c r="AG66" s="669"/>
      <c r="AH66" s="255">
        <f t="shared" si="66"/>
        <v>2.1568603609999994E-2</v>
      </c>
      <c r="AI66" s="822"/>
      <c r="AJ66" s="255">
        <f t="shared" si="67"/>
        <v>10585</v>
      </c>
      <c r="AK66" s="811"/>
    </row>
    <row r="67" spans="2:46" x14ac:dyDescent="0.25">
      <c r="B67" s="825"/>
      <c r="C67" s="645"/>
      <c r="D67" s="814"/>
      <c r="E67" s="669"/>
      <c r="F67" t="s">
        <v>14</v>
      </c>
      <c r="G67" s="255">
        <f t="shared" si="62"/>
        <v>5.9169096143000005E-2</v>
      </c>
      <c r="H67" s="672"/>
      <c r="I67" s="594">
        <f>AVERAGE(L10:M10)-$O$16</f>
        <v>14423</v>
      </c>
      <c r="J67" s="672"/>
      <c r="P67" s="736"/>
      <c r="Q67" s="814"/>
      <c r="R67" s="814"/>
      <c r="S67" s="132" t="s">
        <v>14</v>
      </c>
      <c r="T67">
        <f t="shared" si="64"/>
        <v>3.4913714684999993E-2</v>
      </c>
      <c r="U67" s="811"/>
      <c r="V67" s="594">
        <f>AVERAGE(Y10:Z10)-$AB$17</f>
        <v>14472.5</v>
      </c>
      <c r="W67" s="811"/>
      <c r="AE67" s="645"/>
      <c r="AF67" s="669"/>
      <c r="AG67" s="669"/>
      <c r="AH67" s="255">
        <f t="shared" si="66"/>
        <v>6.7097958999998673E-5</v>
      </c>
      <c r="AI67" s="822"/>
      <c r="AJ67" s="255">
        <f t="shared" si="67"/>
        <v>4321.5</v>
      </c>
      <c r="AK67" s="811"/>
      <c r="AM67" t="s">
        <v>42</v>
      </c>
      <c r="AN67" t="s">
        <v>15</v>
      </c>
      <c r="AO67" t="s">
        <v>490</v>
      </c>
      <c r="AP67" s="255">
        <f>AVERAGE(AJ18:AJ22)</f>
        <v>12490.3</v>
      </c>
      <c r="AQ67">
        <f>STDEV(AJ18:AJ22)</f>
        <v>4085.3603513031735</v>
      </c>
      <c r="AR67">
        <f>COUNT(AJ18:AJ22)</f>
        <v>5</v>
      </c>
    </row>
    <row r="68" spans="2:46" x14ac:dyDescent="0.25">
      <c r="B68" s="825"/>
      <c r="C68" s="645"/>
      <c r="D68" s="814"/>
      <c r="E68" s="669"/>
      <c r="F68" t="s">
        <v>15</v>
      </c>
      <c r="G68" s="255">
        <f>AVERAGE(N27:O27)</f>
        <v>6.3951118757999997E-2</v>
      </c>
      <c r="H68" s="672"/>
      <c r="I68" s="594">
        <f>AVERAGE(N3:O3)-$O$16</f>
        <v>15654</v>
      </c>
      <c r="J68" s="672"/>
      <c r="P68" s="736"/>
      <c r="Q68" s="814"/>
      <c r="R68" s="814"/>
      <c r="S68" s="132" t="s">
        <v>15</v>
      </c>
      <c r="T68" s="255">
        <f>AVERAGE(AA27:AB27)</f>
        <v>3.4058941011000002E-2</v>
      </c>
      <c r="U68" s="811"/>
      <c r="V68" s="594">
        <f>AVERAGE(AA3:AB3)-$AB$17</f>
        <v>14223.5</v>
      </c>
      <c r="W68" s="811"/>
      <c r="AE68" s="645"/>
      <c r="AF68" s="669"/>
      <c r="AG68" s="669" t="s">
        <v>491</v>
      </c>
      <c r="AH68" s="255">
        <f t="shared" si="66"/>
        <v>6.000767274499999E-2</v>
      </c>
      <c r="AI68" s="822">
        <f>AVERAGE(AH68:AH72)</f>
        <v>4.4977044103999997E-2</v>
      </c>
      <c r="AJ68" s="255">
        <f t="shared" si="67"/>
        <v>21782.5</v>
      </c>
      <c r="AK68" s="811">
        <f>AVERAGE(AJ68:AJ72)</f>
        <v>17404</v>
      </c>
      <c r="AO68" t="s">
        <v>491</v>
      </c>
      <c r="AP68" s="255">
        <f>AVERAGE(AJ23:AJ27)</f>
        <v>17467.8</v>
      </c>
      <c r="AQ68">
        <f>STDEV(AJ23:AJ27)</f>
        <v>2372.5461428600261</v>
      </c>
      <c r="AR68">
        <f>COUNT(AJ23:AJ27)</f>
        <v>5</v>
      </c>
    </row>
    <row r="69" spans="2:46" x14ac:dyDescent="0.25">
      <c r="B69" s="825"/>
      <c r="C69" s="645"/>
      <c r="D69" s="814"/>
      <c r="E69" s="669"/>
      <c r="F69" t="s">
        <v>16</v>
      </c>
      <c r="G69" s="255">
        <f t="shared" ref="G69:G75" si="68">AVERAGE(N28:O28)</f>
        <v>6.5975029222999998E-2</v>
      </c>
      <c r="H69" s="672"/>
      <c r="I69" s="594">
        <f t="shared" ref="I69:I75" si="69">AVERAGE(N4:O4)-$O$16</f>
        <v>16175</v>
      </c>
      <c r="J69" s="672"/>
      <c r="P69" s="736"/>
      <c r="Q69" s="814"/>
      <c r="R69" s="814"/>
      <c r="S69" s="132" t="s">
        <v>16</v>
      </c>
      <c r="T69">
        <f t="shared" ref="T69:T75" si="70">AVERAGE(AA28:AB28)</f>
        <v>3.8590271330999994E-2</v>
      </c>
      <c r="U69" s="811"/>
      <c r="V69" s="594">
        <f t="shared" ref="V69:V75" si="71">AVERAGE(AA4:AB4)-$AB$17</f>
        <v>15543.5</v>
      </c>
      <c r="W69" s="811"/>
      <c r="AE69" s="645"/>
      <c r="AF69" s="669"/>
      <c r="AG69" s="669"/>
      <c r="AH69" s="255">
        <f t="shared" si="66"/>
        <v>2.9946415462999997E-2</v>
      </c>
      <c r="AI69" s="822"/>
      <c r="AJ69" s="255">
        <f t="shared" si="67"/>
        <v>13025.5</v>
      </c>
      <c r="AK69" s="811"/>
      <c r="AO69" t="s">
        <v>492</v>
      </c>
      <c r="AP69" s="255">
        <f>AVERAGE(AJ28:AJ32)</f>
        <v>18463.3</v>
      </c>
      <c r="AQ69">
        <f>STDEV(AJ28:AJ32)</f>
        <v>1420.6555529050665</v>
      </c>
      <c r="AR69">
        <f>COUNT(AJ28:AJ32)</f>
        <v>5</v>
      </c>
    </row>
    <row r="70" spans="2:46" x14ac:dyDescent="0.25">
      <c r="B70" s="825"/>
      <c r="C70" s="645"/>
      <c r="D70" s="814"/>
      <c r="E70" s="669"/>
      <c r="F70" t="s">
        <v>17</v>
      </c>
      <c r="G70" s="255">
        <f t="shared" si="68"/>
        <v>6.1511549138000006E-2</v>
      </c>
      <c r="H70" s="672"/>
      <c r="I70" s="594">
        <f t="shared" si="69"/>
        <v>15026</v>
      </c>
      <c r="J70" s="672"/>
      <c r="P70" s="736"/>
      <c r="Q70" s="814"/>
      <c r="R70" s="815"/>
      <c r="S70" s="134" t="s">
        <v>17</v>
      </c>
      <c r="T70" s="162">
        <f t="shared" si="70"/>
        <v>3.2902078648999994E-2</v>
      </c>
      <c r="U70" s="820"/>
      <c r="V70" s="597">
        <f t="shared" si="71"/>
        <v>13886.5</v>
      </c>
      <c r="W70" s="820"/>
      <c r="AE70" s="645"/>
      <c r="AF70" s="669"/>
      <c r="AG70" s="669"/>
      <c r="AI70" s="822"/>
      <c r="AK70" s="811"/>
      <c r="AN70" t="s">
        <v>219</v>
      </c>
      <c r="AO70" t="s">
        <v>490</v>
      </c>
      <c r="AP70" s="255">
        <f>AVERAGE(AJ33:AJ42)</f>
        <v>11256.45</v>
      </c>
      <c r="AQ70">
        <f>STDEV(AJ33:AJ42)</f>
        <v>1945.7054911608084</v>
      </c>
      <c r="AR70">
        <f>COUNT(AJ33:AJ42)</f>
        <v>10</v>
      </c>
    </row>
    <row r="71" spans="2:46" x14ac:dyDescent="0.25">
      <c r="B71" s="825"/>
      <c r="C71" s="645"/>
      <c r="D71" s="814"/>
      <c r="E71" s="669" t="s">
        <v>491</v>
      </c>
      <c r="F71" t="s">
        <v>13</v>
      </c>
      <c r="G71" s="255">
        <f t="shared" si="68"/>
        <v>0.12546284670050001</v>
      </c>
      <c r="H71" s="672">
        <f>AVERAGE(G71:G75)</f>
        <v>7.597843006450003E-2</v>
      </c>
      <c r="I71" s="594">
        <f t="shared" si="69"/>
        <v>31488.5</v>
      </c>
      <c r="J71" s="672">
        <f>AVERAGE(I71:I75)</f>
        <v>18750.099999999999</v>
      </c>
      <c r="P71" s="736"/>
      <c r="Q71" s="814"/>
      <c r="R71" s="814" t="s">
        <v>491</v>
      </c>
      <c r="S71" s="132" t="s">
        <v>13</v>
      </c>
      <c r="T71">
        <f t="shared" si="70"/>
        <v>4.4022718475999992E-2</v>
      </c>
      <c r="U71" s="819">
        <f>AVERAGE(T71:T75)</f>
        <v>5.6481817160399996E-2</v>
      </c>
      <c r="V71" s="594">
        <f t="shared" si="71"/>
        <v>17126</v>
      </c>
      <c r="W71" s="819">
        <f>AVERAGE(V71:V75)</f>
        <v>20755.400000000001</v>
      </c>
      <c r="AE71" s="645"/>
      <c r="AF71" s="669"/>
      <c r="AG71" s="669"/>
      <c r="AI71" s="822"/>
      <c r="AK71" s="811"/>
      <c r="AO71" t="s">
        <v>491</v>
      </c>
      <c r="AP71" s="255">
        <f>AVERAGE(AJ43:AJ52)</f>
        <v>12548.7</v>
      </c>
      <c r="AQ71">
        <f>STDEV(AJ43:AJ52)</f>
        <v>3099.8493619314236</v>
      </c>
      <c r="AR71">
        <f>COUNT(AJ43:AJ52)</f>
        <v>10</v>
      </c>
      <c r="AT71" s="105" t="s">
        <v>707</v>
      </c>
    </row>
    <row r="72" spans="2:46" x14ac:dyDescent="0.25">
      <c r="B72" s="825"/>
      <c r="C72" s="645"/>
      <c r="D72" s="814"/>
      <c r="E72" s="669"/>
      <c r="F72" t="s">
        <v>14</v>
      </c>
      <c r="G72" s="255">
        <f t="shared" si="68"/>
        <v>5.7929888008000002E-2</v>
      </c>
      <c r="H72" s="672"/>
      <c r="I72" s="594">
        <f t="shared" si="69"/>
        <v>14104</v>
      </c>
      <c r="J72" s="672"/>
      <c r="P72" s="736"/>
      <c r="Q72" s="814"/>
      <c r="R72" s="814"/>
      <c r="S72" s="132" t="s">
        <v>14</v>
      </c>
      <c r="T72">
        <f t="shared" si="70"/>
        <v>3.6082591937999994E-2</v>
      </c>
      <c r="U72" s="811"/>
      <c r="V72" s="594">
        <f t="shared" si="71"/>
        <v>14813</v>
      </c>
      <c r="W72" s="811"/>
      <c r="AE72" s="645"/>
      <c r="AF72" s="669"/>
      <c r="AG72" s="669"/>
      <c r="AI72" s="822"/>
      <c r="AK72" s="811"/>
      <c r="AO72" t="s">
        <v>492</v>
      </c>
      <c r="AP72" s="255">
        <f>AVERAGE(AJ53:AJ62)</f>
        <v>14388.5625</v>
      </c>
      <c r="AQ72">
        <f>STDEV(AJ53:AJ62)</f>
        <v>4783.4716206470493</v>
      </c>
      <c r="AR72">
        <f>COUNT(AJ53:AJ62)</f>
        <v>8</v>
      </c>
    </row>
    <row r="73" spans="2:46" x14ac:dyDescent="0.25">
      <c r="B73" s="825"/>
      <c r="C73" s="645"/>
      <c r="D73" s="814"/>
      <c r="E73" s="669"/>
      <c r="F73" t="s">
        <v>15</v>
      </c>
      <c r="G73" s="255">
        <f t="shared" si="68"/>
        <v>7.4113402398000017E-2</v>
      </c>
      <c r="H73" s="672"/>
      <c r="I73" s="594">
        <f t="shared" si="69"/>
        <v>18270</v>
      </c>
      <c r="J73" s="672"/>
      <c r="P73" s="736"/>
      <c r="Q73" s="814"/>
      <c r="R73" s="814"/>
      <c r="S73" s="132" t="s">
        <v>15</v>
      </c>
      <c r="T73">
        <f t="shared" si="70"/>
        <v>4.7572260559999996E-2</v>
      </c>
      <c r="U73" s="811"/>
      <c r="V73" s="594">
        <f t="shared" si="71"/>
        <v>18160</v>
      </c>
      <c r="W73" s="811"/>
      <c r="AE73" s="645"/>
      <c r="AF73" s="669"/>
      <c r="AG73" s="669" t="s">
        <v>492</v>
      </c>
      <c r="AH73" s="255">
        <f>T48</f>
        <v>2.3309046391999995E-2</v>
      </c>
      <c r="AI73" s="822">
        <f>AVERAGE(AH73:AH77)</f>
        <v>2.5548965356999995E-2</v>
      </c>
      <c r="AJ73" s="255">
        <f t="shared" ref="AJ73" si="72">V48</f>
        <v>11092</v>
      </c>
      <c r="AK73" s="811">
        <f>AVERAGE(AJ73:AJ77)</f>
        <v>11744.5</v>
      </c>
      <c r="AM73" t="s">
        <v>63</v>
      </c>
      <c r="AN73" t="s">
        <v>15</v>
      </c>
      <c r="AO73" t="s">
        <v>490</v>
      </c>
      <c r="AP73" s="255">
        <f>AVERAGE(AJ63:AJ67)</f>
        <v>10451.700000000001</v>
      </c>
      <c r="AQ73">
        <f>STDEV(AJ28:AJ63)</f>
        <v>3806.7342863849917</v>
      </c>
      <c r="AR73">
        <f>COUNT(AJ63:AJ67)</f>
        <v>5</v>
      </c>
    </row>
    <row r="74" spans="2:46" x14ac:dyDescent="0.25">
      <c r="B74" s="825"/>
      <c r="C74" s="645"/>
      <c r="D74" s="814"/>
      <c r="E74" s="669"/>
      <c r="F74" t="s">
        <v>16</v>
      </c>
      <c r="G74" s="255">
        <f t="shared" si="68"/>
        <v>5.6644063893000002E-2</v>
      </c>
      <c r="H74" s="672"/>
      <c r="I74" s="594">
        <f t="shared" si="69"/>
        <v>13773</v>
      </c>
      <c r="J74" s="672"/>
      <c r="P74" s="736"/>
      <c r="Q74" s="814"/>
      <c r="R74" s="814"/>
      <c r="S74" s="132" t="s">
        <v>16</v>
      </c>
      <c r="T74">
        <f t="shared" si="70"/>
        <v>0.13453089237900001</v>
      </c>
      <c r="U74" s="811"/>
      <c r="V74" s="594">
        <f t="shared" si="71"/>
        <v>43491.5</v>
      </c>
      <c r="W74" s="811"/>
      <c r="AE74" s="645"/>
      <c r="AF74" s="669"/>
      <c r="AG74" s="669"/>
      <c r="AH74" s="255"/>
      <c r="AI74" s="822"/>
      <c r="AJ74" s="255"/>
      <c r="AK74" s="811"/>
      <c r="AO74" t="s">
        <v>491</v>
      </c>
      <c r="AP74" s="255">
        <f>AVERAGE(AJ68:AJ69)</f>
        <v>17404</v>
      </c>
      <c r="AQ74">
        <f>STDEV(AJ68:AJ69)</f>
        <v>6192.1340828505963</v>
      </c>
      <c r="AR74">
        <f>COUNT(AJ68:AJ69)</f>
        <v>2</v>
      </c>
    </row>
    <row r="75" spans="2:46" ht="15.75" thickBot="1" x14ac:dyDescent="0.3">
      <c r="B75" s="826"/>
      <c r="C75" s="646"/>
      <c r="D75" s="827"/>
      <c r="E75" s="684"/>
      <c r="F75" s="6" t="s">
        <v>17</v>
      </c>
      <c r="G75" s="256">
        <f t="shared" si="68"/>
        <v>6.574194932300001E-2</v>
      </c>
      <c r="H75" s="703"/>
      <c r="I75" s="595">
        <f t="shared" si="69"/>
        <v>16115</v>
      </c>
      <c r="J75" s="703"/>
      <c r="P75" s="737"/>
      <c r="Q75" s="827"/>
      <c r="R75" s="827"/>
      <c r="S75" s="203" t="s">
        <v>17</v>
      </c>
      <c r="T75" s="6">
        <f t="shared" si="70"/>
        <v>2.0200622448999998E-2</v>
      </c>
      <c r="U75" s="812"/>
      <c r="V75" s="595">
        <f t="shared" si="71"/>
        <v>10186.5</v>
      </c>
      <c r="W75" s="812"/>
      <c r="AE75" s="645"/>
      <c r="AF75" s="669"/>
      <c r="AG75" s="669"/>
      <c r="AH75" s="255">
        <f>T50</f>
        <v>2.4328595713999996E-2</v>
      </c>
      <c r="AI75" s="822"/>
      <c r="AJ75" s="255">
        <f t="shared" ref="AJ75" si="73">V50</f>
        <v>11389</v>
      </c>
      <c r="AK75" s="811"/>
      <c r="AO75" t="s">
        <v>492</v>
      </c>
      <c r="AP75" s="255">
        <f>AVERAGE(AJ73:AJ77)</f>
        <v>11744.5</v>
      </c>
      <c r="AQ75">
        <f>STDEV(AJ73:AJ77)</f>
        <v>2728.9470802246547</v>
      </c>
      <c r="AR75">
        <f>COUNT(AJ73:AJ77)</f>
        <v>4</v>
      </c>
    </row>
    <row r="76" spans="2:46" x14ac:dyDescent="0.25">
      <c r="AE76" s="645"/>
      <c r="AF76" s="669"/>
      <c r="AG76" s="669"/>
      <c r="AH76" s="255">
        <f>T51</f>
        <v>1.6081231248999996E-2</v>
      </c>
      <c r="AI76" s="822"/>
      <c r="AJ76" s="255">
        <f t="shared" ref="AJ76" si="74">V51</f>
        <v>8986.5</v>
      </c>
      <c r="AK76" s="811"/>
      <c r="AN76" t="s">
        <v>219</v>
      </c>
      <c r="AO76" t="s">
        <v>490</v>
      </c>
      <c r="AP76" s="255">
        <f>AVERAGE(AJ78:AJ82)</f>
        <v>15475.1</v>
      </c>
      <c r="AQ76">
        <f>STDEV(AJ78:AJ82)</f>
        <v>744.62275683731298</v>
      </c>
      <c r="AR76">
        <f>COUNT(AJ78:AJ82)</f>
        <v>5</v>
      </c>
    </row>
    <row r="77" spans="2:46" x14ac:dyDescent="0.25">
      <c r="AE77" s="645"/>
      <c r="AF77" s="669"/>
      <c r="AG77" s="669"/>
      <c r="AH77" s="255">
        <f>T52</f>
        <v>3.8476988072999999E-2</v>
      </c>
      <c r="AI77" s="822"/>
      <c r="AJ77" s="255">
        <f t="shared" ref="AJ77" si="75">V52</f>
        <v>15510.5</v>
      </c>
      <c r="AK77" s="811"/>
      <c r="AO77" t="s">
        <v>491</v>
      </c>
      <c r="AP77" s="255">
        <f>AVERAGE(AJ83:AJ87)</f>
        <v>18750.099999999999</v>
      </c>
      <c r="AQ77">
        <f>STDEV(AJ83:AJ87)</f>
        <v>7345.0468378356863</v>
      </c>
      <c r="AR77">
        <f>COUNT(AJ83:AJ87)</f>
        <v>5</v>
      </c>
    </row>
    <row r="78" spans="2:46" x14ac:dyDescent="0.25">
      <c r="AE78" s="645"/>
      <c r="AF78" s="669" t="s">
        <v>219</v>
      </c>
      <c r="AG78" s="669" t="s">
        <v>490</v>
      </c>
      <c r="AH78" s="255">
        <f>G66</f>
        <v>6.5673967685500018E-2</v>
      </c>
      <c r="AI78" s="822">
        <f>AVERAGE(AH78:AH82)</f>
        <v>6.3256152189500009E-2</v>
      </c>
      <c r="AJ78" s="255">
        <f t="shared" ref="AJ78:AJ87" si="76">I66</f>
        <v>16097.5</v>
      </c>
      <c r="AK78" s="811">
        <f>AVERAGE(AJ78:AJ82)</f>
        <v>15475.1</v>
      </c>
      <c r="AO78" t="s">
        <v>492</v>
      </c>
      <c r="AP78" s="255">
        <f>AVERAGE(AJ88:AJ92)</f>
        <v>10823.5</v>
      </c>
      <c r="AQ78">
        <f>STDEV(AJ88:AJ92)</f>
        <v>2217.0480937498851</v>
      </c>
      <c r="AR78">
        <f>COUNT(AJ88:AJ92)</f>
        <v>5</v>
      </c>
    </row>
    <row r="79" spans="2:46" x14ac:dyDescent="0.25">
      <c r="AE79" s="645"/>
      <c r="AF79" s="669"/>
      <c r="AG79" s="669"/>
      <c r="AH79" s="255">
        <f t="shared" ref="AH79:AH87" si="77">G67</f>
        <v>5.9169096143000005E-2</v>
      </c>
      <c r="AI79" s="822"/>
      <c r="AJ79" s="255">
        <f t="shared" si="76"/>
        <v>14423</v>
      </c>
      <c r="AK79" s="811"/>
    </row>
    <row r="80" spans="2:46" x14ac:dyDescent="0.25">
      <c r="AE80" s="645"/>
      <c r="AF80" s="669"/>
      <c r="AG80" s="669"/>
      <c r="AH80" s="255">
        <f t="shared" si="77"/>
        <v>6.3951118757999997E-2</v>
      </c>
      <c r="AI80" s="822"/>
      <c r="AJ80" s="255">
        <f t="shared" si="76"/>
        <v>15654</v>
      </c>
      <c r="AK80" s="811"/>
    </row>
    <row r="81" spans="31:37" x14ac:dyDescent="0.25">
      <c r="AE81" s="645"/>
      <c r="AF81" s="669"/>
      <c r="AG81" s="669"/>
      <c r="AH81" s="255">
        <f t="shared" si="77"/>
        <v>6.5975029222999998E-2</v>
      </c>
      <c r="AI81" s="822"/>
      <c r="AJ81" s="255">
        <f t="shared" si="76"/>
        <v>16175</v>
      </c>
      <c r="AK81" s="811"/>
    </row>
    <row r="82" spans="31:37" x14ac:dyDescent="0.25">
      <c r="AE82" s="645"/>
      <c r="AF82" s="669"/>
      <c r="AG82" s="669"/>
      <c r="AH82" s="255">
        <f t="shared" si="77"/>
        <v>6.1511549138000006E-2</v>
      </c>
      <c r="AI82" s="822"/>
      <c r="AJ82" s="255">
        <f t="shared" si="76"/>
        <v>15026</v>
      </c>
      <c r="AK82" s="811"/>
    </row>
    <row r="83" spans="31:37" x14ac:dyDescent="0.25">
      <c r="AE83" s="645"/>
      <c r="AF83" s="669"/>
      <c r="AG83" s="669" t="s">
        <v>491</v>
      </c>
      <c r="AH83" s="255">
        <f t="shared" si="77"/>
        <v>0.12546284670050001</v>
      </c>
      <c r="AI83" s="822">
        <f>AVERAGE(AH83:AH87)</f>
        <v>7.597843006450003E-2</v>
      </c>
      <c r="AJ83" s="255">
        <f t="shared" si="76"/>
        <v>31488.5</v>
      </c>
      <c r="AK83" s="811">
        <f>AVERAGE(AJ83:AJ87)</f>
        <v>18750.099999999999</v>
      </c>
    </row>
    <row r="84" spans="31:37" x14ac:dyDescent="0.25">
      <c r="AE84" s="645"/>
      <c r="AF84" s="669"/>
      <c r="AG84" s="669"/>
      <c r="AH84" s="255">
        <f t="shared" si="77"/>
        <v>5.7929888008000002E-2</v>
      </c>
      <c r="AI84" s="822"/>
      <c r="AJ84" s="255">
        <f t="shared" si="76"/>
        <v>14104</v>
      </c>
      <c r="AK84" s="811"/>
    </row>
    <row r="85" spans="31:37" x14ac:dyDescent="0.25">
      <c r="AE85" s="645"/>
      <c r="AF85" s="669"/>
      <c r="AG85" s="669"/>
      <c r="AH85" s="255">
        <f t="shared" si="77"/>
        <v>7.4113402398000017E-2</v>
      </c>
      <c r="AI85" s="822"/>
      <c r="AJ85" s="255">
        <f t="shared" si="76"/>
        <v>18270</v>
      </c>
      <c r="AK85" s="811"/>
    </row>
    <row r="86" spans="31:37" x14ac:dyDescent="0.25">
      <c r="AE86" s="645"/>
      <c r="AF86" s="669"/>
      <c r="AG86" s="669"/>
      <c r="AH86" s="255">
        <f t="shared" si="77"/>
        <v>5.6644063893000002E-2</v>
      </c>
      <c r="AI86" s="822"/>
      <c r="AJ86" s="255">
        <f t="shared" si="76"/>
        <v>13773</v>
      </c>
      <c r="AK86" s="811"/>
    </row>
    <row r="87" spans="31:37" x14ac:dyDescent="0.25">
      <c r="AE87" s="645"/>
      <c r="AF87" s="669"/>
      <c r="AG87" s="669"/>
      <c r="AH87" s="255">
        <f t="shared" si="77"/>
        <v>6.574194932300001E-2</v>
      </c>
      <c r="AI87" s="822"/>
      <c r="AJ87" s="255">
        <f t="shared" si="76"/>
        <v>16115</v>
      </c>
      <c r="AK87" s="811"/>
    </row>
    <row r="88" spans="31:37" x14ac:dyDescent="0.25">
      <c r="AE88" s="645"/>
      <c r="AF88" s="669"/>
      <c r="AG88" s="669" t="s">
        <v>492</v>
      </c>
      <c r="AH88" s="255">
        <f>T36</f>
        <v>3.0955666306999995E-2</v>
      </c>
      <c r="AI88" s="822">
        <f>AVERAGE(AH88:AH92)</f>
        <v>2.2387332610999996E-2</v>
      </c>
      <c r="AJ88" s="255">
        <f t="shared" ref="AJ88:AJ92" si="78">V36</f>
        <v>13319.5</v>
      </c>
      <c r="AK88" s="811">
        <f>AVERAGE(AJ88:AJ92)</f>
        <v>10823.5</v>
      </c>
    </row>
    <row r="89" spans="31:37" x14ac:dyDescent="0.25">
      <c r="AE89" s="645"/>
      <c r="AF89" s="669"/>
      <c r="AG89" s="669"/>
      <c r="AH89" s="255">
        <f t="shared" ref="AH89:AH92" si="79">T37</f>
        <v>1.6762647209999999E-2</v>
      </c>
      <c r="AI89" s="822"/>
      <c r="AJ89" s="255">
        <f t="shared" si="78"/>
        <v>9185</v>
      </c>
      <c r="AK89" s="811"/>
    </row>
    <row r="90" spans="31:37" x14ac:dyDescent="0.25">
      <c r="AE90" s="645"/>
      <c r="AF90" s="669"/>
      <c r="AG90" s="669"/>
      <c r="AH90" s="255">
        <f t="shared" si="79"/>
        <v>1.4109072711999997E-2</v>
      </c>
      <c r="AI90" s="822"/>
      <c r="AJ90" s="255">
        <f t="shared" si="78"/>
        <v>8412</v>
      </c>
      <c r="AK90" s="811"/>
    </row>
    <row r="91" spans="31:37" x14ac:dyDescent="0.25">
      <c r="AE91" s="645"/>
      <c r="AF91" s="669"/>
      <c r="AG91" s="669"/>
      <c r="AH91" s="255">
        <f t="shared" si="79"/>
        <v>2.0370547335999998E-2</v>
      </c>
      <c r="AI91" s="822"/>
      <c r="AJ91" s="255">
        <f t="shared" si="78"/>
        <v>10236</v>
      </c>
      <c r="AK91" s="811"/>
    </row>
    <row r="92" spans="31:37" ht="15.75" thickBot="1" x14ac:dyDescent="0.3">
      <c r="AE92" s="646"/>
      <c r="AF92" s="684"/>
      <c r="AG92" s="684"/>
      <c r="AH92" s="256">
        <f t="shared" si="79"/>
        <v>2.9738729489999994E-2</v>
      </c>
      <c r="AI92" s="823"/>
      <c r="AJ92" s="256">
        <f t="shared" si="78"/>
        <v>12965</v>
      </c>
      <c r="AK92" s="812"/>
    </row>
  </sheetData>
  <mergeCells count="111">
    <mergeCell ref="B2:B10"/>
    <mergeCell ref="B11:B25"/>
    <mergeCell ref="B26:B34"/>
    <mergeCell ref="E71:E75"/>
    <mergeCell ref="E66:E70"/>
    <mergeCell ref="E61:E65"/>
    <mergeCell ref="E56:E60"/>
    <mergeCell ref="E51:E55"/>
    <mergeCell ref="E46:E50"/>
    <mergeCell ref="E41:E45"/>
    <mergeCell ref="D51:D65"/>
    <mergeCell ref="D66:D75"/>
    <mergeCell ref="C66:C75"/>
    <mergeCell ref="C51:C65"/>
    <mergeCell ref="C36:C50"/>
    <mergeCell ref="H66:H70"/>
    <mergeCell ref="H71:H75"/>
    <mergeCell ref="H46:H50"/>
    <mergeCell ref="B35:B75"/>
    <mergeCell ref="AE63:AE92"/>
    <mergeCell ref="R53:R57"/>
    <mergeCell ref="R48:R52"/>
    <mergeCell ref="R46:R47"/>
    <mergeCell ref="R41:R45"/>
    <mergeCell ref="H36:H40"/>
    <mergeCell ref="H41:H45"/>
    <mergeCell ref="H51:H55"/>
    <mergeCell ref="H56:H60"/>
    <mergeCell ref="H61:H65"/>
    <mergeCell ref="E36:E40"/>
    <mergeCell ref="D36:D50"/>
    <mergeCell ref="Q53:Q65"/>
    <mergeCell ref="Q66:Q75"/>
    <mergeCell ref="R71:R75"/>
    <mergeCell ref="R66:R70"/>
    <mergeCell ref="R63:R65"/>
    <mergeCell ref="R58:R62"/>
    <mergeCell ref="U53:U57"/>
    <mergeCell ref="J61:J65"/>
    <mergeCell ref="AI33:AI42"/>
    <mergeCell ref="AI63:AI67"/>
    <mergeCell ref="AI68:AI72"/>
    <mergeCell ref="AG28:AG32"/>
    <mergeCell ref="AG23:AG27"/>
    <mergeCell ref="AG18:AG22"/>
    <mergeCell ref="AG53:AG62"/>
    <mergeCell ref="AG88:AG92"/>
    <mergeCell ref="AG83:AG87"/>
    <mergeCell ref="AG78:AG82"/>
    <mergeCell ref="AG73:AG77"/>
    <mergeCell ref="AG68:AG72"/>
    <mergeCell ref="AG63:AG67"/>
    <mergeCell ref="AI88:AI92"/>
    <mergeCell ref="J66:J70"/>
    <mergeCell ref="J71:J75"/>
    <mergeCell ref="W36:W40"/>
    <mergeCell ref="W41:W45"/>
    <mergeCell ref="W48:W52"/>
    <mergeCell ref="W53:W57"/>
    <mergeCell ref="W58:W62"/>
    <mergeCell ref="W66:W70"/>
    <mergeCell ref="W71:W75"/>
    <mergeCell ref="W63:W65"/>
    <mergeCell ref="W46:W47"/>
    <mergeCell ref="J36:J40"/>
    <mergeCell ref="J41:J45"/>
    <mergeCell ref="J46:J50"/>
    <mergeCell ref="J51:J55"/>
    <mergeCell ref="J56:J60"/>
    <mergeCell ref="U48:U52"/>
    <mergeCell ref="U46:U47"/>
    <mergeCell ref="U41:U45"/>
    <mergeCell ref="U36:U40"/>
    <mergeCell ref="AK88:AK92"/>
    <mergeCell ref="AK63:AK67"/>
    <mergeCell ref="AK68:AK72"/>
    <mergeCell ref="AK73:AK77"/>
    <mergeCell ref="AK78:AK82"/>
    <mergeCell ref="AK83:AK87"/>
    <mergeCell ref="U71:U75"/>
    <mergeCell ref="U66:U70"/>
    <mergeCell ref="U63:U65"/>
    <mergeCell ref="AF63:AF77"/>
    <mergeCell ref="AF78:AF92"/>
    <mergeCell ref="AI73:AI77"/>
    <mergeCell ref="AI83:AI87"/>
    <mergeCell ref="AI78:AI82"/>
    <mergeCell ref="AK18:AK22"/>
    <mergeCell ref="AK23:AK27"/>
    <mergeCell ref="AK28:AK32"/>
    <mergeCell ref="AK33:AK42"/>
    <mergeCell ref="AK43:AK52"/>
    <mergeCell ref="AK53:AK62"/>
    <mergeCell ref="R36:R40"/>
    <mergeCell ref="P66:P75"/>
    <mergeCell ref="P53:P65"/>
    <mergeCell ref="P41:P52"/>
    <mergeCell ref="P36:P40"/>
    <mergeCell ref="Q36:Q40"/>
    <mergeCell ref="Q41:Q52"/>
    <mergeCell ref="U58:U62"/>
    <mergeCell ref="AI18:AI22"/>
    <mergeCell ref="AI23:AI27"/>
    <mergeCell ref="AI28:AI32"/>
    <mergeCell ref="AG33:AG42"/>
    <mergeCell ref="AG43:AG52"/>
    <mergeCell ref="AE18:AE62"/>
    <mergeCell ref="AF33:AF62"/>
    <mergeCell ref="AF18:AF32"/>
    <mergeCell ref="AI53:AI62"/>
    <mergeCell ref="AI43:AI52"/>
  </mergeCells>
  <conditionalFormatting sqref="AQ27:AS50">
    <cfRule type="cellIs" dxfId="42" priority="1" stopIfTrue="1" operator="lessThan">
      <formula>0.025</formula>
    </cfRule>
    <cfRule type="cellIs" dxfId="41" priority="2" operator="lessThan">
      <formula>0.05</formula>
    </cfRule>
  </conditionalFormatting>
  <hyperlinks>
    <hyperlink ref="A1" location="'Table of Contents'!A1" display="Table of Contents" xr:uid="{2473718F-778D-4ECC-8D7D-4C31FC4F5895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512D-FE6B-477A-84B7-5B7AB0B55748}">
  <dimension ref="A1:M674"/>
  <sheetViews>
    <sheetView workbookViewId="0">
      <selection activeCell="F28" sqref="F28"/>
    </sheetView>
  </sheetViews>
  <sheetFormatPr defaultRowHeight="15" x14ac:dyDescent="0.25"/>
  <cols>
    <col min="2" max="2" width="51.5703125" customWidth="1"/>
    <col min="3" max="5" width="11" customWidth="1"/>
    <col min="6" max="6" width="13.85546875" customWidth="1"/>
    <col min="7" max="9" width="11" customWidth="1"/>
    <col min="10" max="10" width="19" customWidth="1"/>
    <col min="11" max="11" width="16.28515625" customWidth="1"/>
    <col min="12" max="12" width="22.85546875" customWidth="1"/>
    <col min="13" max="13" width="21.5703125" customWidth="1"/>
  </cols>
  <sheetData>
    <row r="1" spans="1:13" x14ac:dyDescent="0.25">
      <c r="A1" s="1" t="s">
        <v>9</v>
      </c>
      <c r="B1" t="s">
        <v>505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</row>
    <row r="2" spans="1:13" x14ac:dyDescent="0.25">
      <c r="B2" t="s">
        <v>56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81</v>
      </c>
      <c r="J2" t="s">
        <v>523</v>
      </c>
      <c r="K2" t="s">
        <v>524</v>
      </c>
      <c r="L2" t="s">
        <v>525</v>
      </c>
      <c r="M2" t="s">
        <v>526</v>
      </c>
    </row>
    <row r="3" spans="1:13" x14ac:dyDescent="0.25">
      <c r="B3" t="s">
        <v>527</v>
      </c>
      <c r="C3" t="s">
        <v>528</v>
      </c>
      <c r="D3" t="s">
        <v>529</v>
      </c>
      <c r="E3">
        <v>1</v>
      </c>
      <c r="F3">
        <v>1030</v>
      </c>
      <c r="G3">
        <v>1680924</v>
      </c>
      <c r="H3">
        <v>1680924</v>
      </c>
      <c r="I3">
        <v>1657795</v>
      </c>
      <c r="J3" t="s">
        <v>530</v>
      </c>
      <c r="K3">
        <v>1657794.5</v>
      </c>
      <c r="L3">
        <v>1038.53816146334</v>
      </c>
      <c r="M3">
        <v>1019.4383094367</v>
      </c>
    </row>
    <row r="4" spans="1:13" x14ac:dyDescent="0.25">
      <c r="B4" t="s">
        <v>527</v>
      </c>
      <c r="C4" t="s">
        <v>528</v>
      </c>
      <c r="D4" t="s">
        <v>531</v>
      </c>
      <c r="E4">
        <v>1</v>
      </c>
      <c r="F4">
        <v>1030</v>
      </c>
      <c r="G4">
        <v>1634665</v>
      </c>
      <c r="H4">
        <v>1634665</v>
      </c>
      <c r="I4">
        <v>1657795</v>
      </c>
      <c r="J4" t="s">
        <v>532</v>
      </c>
      <c r="K4">
        <v>1657794.5</v>
      </c>
      <c r="L4">
        <v>1000.33845741006</v>
      </c>
      <c r="M4">
        <v>1019.4383094367</v>
      </c>
    </row>
    <row r="5" spans="1:13" x14ac:dyDescent="0.25">
      <c r="B5" t="s">
        <v>533</v>
      </c>
      <c r="C5" t="s">
        <v>528</v>
      </c>
      <c r="D5" t="s">
        <v>534</v>
      </c>
      <c r="E5">
        <v>1</v>
      </c>
      <c r="F5">
        <v>257.5</v>
      </c>
      <c r="G5">
        <v>519342</v>
      </c>
      <c r="H5">
        <v>519342</v>
      </c>
      <c r="I5">
        <v>527535</v>
      </c>
      <c r="J5" t="s">
        <v>532</v>
      </c>
      <c r="K5">
        <v>527535</v>
      </c>
      <c r="L5">
        <v>260.512311022218</v>
      </c>
      <c r="M5">
        <v>264.949441174426</v>
      </c>
    </row>
    <row r="6" spans="1:13" x14ac:dyDescent="0.25">
      <c r="B6" t="s">
        <v>533</v>
      </c>
      <c r="C6" t="s">
        <v>528</v>
      </c>
      <c r="D6" t="s">
        <v>535</v>
      </c>
      <c r="E6">
        <v>1</v>
      </c>
      <c r="F6">
        <v>257.5</v>
      </c>
      <c r="G6">
        <v>535728</v>
      </c>
      <c r="H6">
        <v>535728</v>
      </c>
      <c r="I6">
        <v>527535</v>
      </c>
      <c r="J6" t="s">
        <v>532</v>
      </c>
      <c r="K6">
        <v>527535</v>
      </c>
      <c r="L6">
        <v>269.386571326634</v>
      </c>
      <c r="M6">
        <v>264.949441174426</v>
      </c>
    </row>
    <row r="7" spans="1:13" x14ac:dyDescent="0.25">
      <c r="B7" t="s">
        <v>536</v>
      </c>
      <c r="C7" t="s">
        <v>528</v>
      </c>
      <c r="D7" t="s">
        <v>537</v>
      </c>
      <c r="E7">
        <v>1</v>
      </c>
      <c r="F7">
        <v>64.375</v>
      </c>
      <c r="G7">
        <v>134947</v>
      </c>
      <c r="H7">
        <v>134947</v>
      </c>
      <c r="I7">
        <v>135660</v>
      </c>
      <c r="J7" t="s">
        <v>532</v>
      </c>
      <c r="K7">
        <v>135660</v>
      </c>
      <c r="L7">
        <v>64.549448203865197</v>
      </c>
      <c r="M7">
        <v>64.893972432463499</v>
      </c>
    </row>
    <row r="8" spans="1:13" x14ac:dyDescent="0.25">
      <c r="B8" t="s">
        <v>536</v>
      </c>
      <c r="C8" t="s">
        <v>528</v>
      </c>
      <c r="D8" t="s">
        <v>538</v>
      </c>
      <c r="E8">
        <v>1</v>
      </c>
      <c r="F8">
        <v>64.375</v>
      </c>
      <c r="G8">
        <v>136373</v>
      </c>
      <c r="H8">
        <v>136373</v>
      </c>
      <c r="I8">
        <v>135660</v>
      </c>
      <c r="J8" t="s">
        <v>532</v>
      </c>
      <c r="K8">
        <v>135660</v>
      </c>
      <c r="L8">
        <v>65.238496661061802</v>
      </c>
      <c r="M8">
        <v>64.893972432463499</v>
      </c>
    </row>
    <row r="9" spans="1:13" x14ac:dyDescent="0.25">
      <c r="B9" t="s">
        <v>539</v>
      </c>
      <c r="C9" t="s">
        <v>528</v>
      </c>
      <c r="D9" t="s">
        <v>540</v>
      </c>
      <c r="E9">
        <v>1</v>
      </c>
      <c r="F9">
        <v>16.09375</v>
      </c>
      <c r="G9">
        <v>33030</v>
      </c>
      <c r="H9">
        <v>33030</v>
      </c>
      <c r="I9">
        <v>32852</v>
      </c>
      <c r="J9" t="s">
        <v>532</v>
      </c>
      <c r="K9">
        <v>32851.5</v>
      </c>
      <c r="L9">
        <v>15.7747537666338</v>
      </c>
      <c r="M9">
        <v>15.6897781803198</v>
      </c>
    </row>
    <row r="10" spans="1:13" x14ac:dyDescent="0.25">
      <c r="B10" t="s">
        <v>539</v>
      </c>
      <c r="C10" t="s">
        <v>528</v>
      </c>
      <c r="D10" t="s">
        <v>541</v>
      </c>
      <c r="E10">
        <v>1</v>
      </c>
      <c r="F10">
        <v>16.09375</v>
      </c>
      <c r="G10">
        <v>32673</v>
      </c>
      <c r="H10">
        <v>32673</v>
      </c>
      <c r="I10">
        <v>32852</v>
      </c>
      <c r="J10" t="s">
        <v>532</v>
      </c>
      <c r="K10">
        <v>32851.5</v>
      </c>
      <c r="L10">
        <v>15.604802594005699</v>
      </c>
      <c r="M10">
        <v>15.6897781803198</v>
      </c>
    </row>
    <row r="11" spans="1:13" x14ac:dyDescent="0.25">
      <c r="B11" t="s">
        <v>542</v>
      </c>
      <c r="C11" t="s">
        <v>528</v>
      </c>
      <c r="D11" t="s">
        <v>543</v>
      </c>
      <c r="E11">
        <v>1</v>
      </c>
      <c r="F11">
        <v>4.0234375</v>
      </c>
      <c r="G11">
        <v>8356</v>
      </c>
      <c r="H11">
        <v>8356</v>
      </c>
      <c r="I11">
        <v>8229</v>
      </c>
      <c r="J11" t="s">
        <v>532</v>
      </c>
      <c r="K11">
        <v>8229</v>
      </c>
      <c r="L11">
        <v>3.9940025882039198</v>
      </c>
      <c r="M11">
        <v>3.9329343051259502</v>
      </c>
    </row>
    <row r="12" spans="1:13" x14ac:dyDescent="0.25">
      <c r="B12" t="s">
        <v>542</v>
      </c>
      <c r="C12" t="s">
        <v>528</v>
      </c>
      <c r="D12" t="s">
        <v>544</v>
      </c>
      <c r="E12">
        <v>1</v>
      </c>
      <c r="F12">
        <v>4.0234375</v>
      </c>
      <c r="G12">
        <v>8102</v>
      </c>
      <c r="H12">
        <v>8102</v>
      </c>
      <c r="I12">
        <v>8229</v>
      </c>
      <c r="J12" t="s">
        <v>532</v>
      </c>
      <c r="K12">
        <v>8229</v>
      </c>
      <c r="L12">
        <v>3.8718660220479801</v>
      </c>
      <c r="M12">
        <v>3.9329343051259502</v>
      </c>
    </row>
    <row r="13" spans="1:13" x14ac:dyDescent="0.25">
      <c r="B13" t="s">
        <v>545</v>
      </c>
      <c r="C13" t="s">
        <v>528</v>
      </c>
      <c r="D13" t="s">
        <v>546</v>
      </c>
      <c r="E13">
        <v>1</v>
      </c>
      <c r="F13">
        <v>1.005859375</v>
      </c>
      <c r="G13">
        <v>2275</v>
      </c>
      <c r="H13">
        <v>2275</v>
      </c>
      <c r="I13">
        <v>2206</v>
      </c>
      <c r="J13" t="s">
        <v>532</v>
      </c>
      <c r="K13">
        <v>2205.5</v>
      </c>
      <c r="L13">
        <v>1.05344110364244</v>
      </c>
      <c r="M13">
        <v>1.01949763772387</v>
      </c>
    </row>
    <row r="14" spans="1:13" x14ac:dyDescent="0.25">
      <c r="B14" t="s">
        <v>545</v>
      </c>
      <c r="C14" t="s">
        <v>528</v>
      </c>
      <c r="D14" t="s">
        <v>547</v>
      </c>
      <c r="E14">
        <v>1</v>
      </c>
      <c r="F14">
        <v>1.005859375</v>
      </c>
      <c r="G14">
        <v>2136</v>
      </c>
      <c r="H14">
        <v>2136</v>
      </c>
      <c r="I14">
        <v>2206</v>
      </c>
      <c r="J14" t="s">
        <v>532</v>
      </c>
      <c r="K14">
        <v>2205.5</v>
      </c>
      <c r="L14">
        <v>0.98555417180530502</v>
      </c>
      <c r="M14">
        <v>1.01949763772387</v>
      </c>
    </row>
    <row r="15" spans="1:13" x14ac:dyDescent="0.25">
      <c r="B15" t="s">
        <v>548</v>
      </c>
      <c r="C15" t="s">
        <v>528</v>
      </c>
      <c r="D15" t="s">
        <v>549</v>
      </c>
      <c r="E15">
        <v>1</v>
      </c>
      <c r="F15">
        <v>0.25146484375</v>
      </c>
      <c r="G15">
        <v>664</v>
      </c>
      <c r="H15">
        <v>664</v>
      </c>
      <c r="I15">
        <v>654</v>
      </c>
      <c r="J15" t="s">
        <v>532</v>
      </c>
      <c r="K15">
        <v>654</v>
      </c>
      <c r="L15">
        <v>0.26165009984223903</v>
      </c>
      <c r="M15">
        <v>0.25668057882295497</v>
      </c>
    </row>
    <row r="16" spans="1:13" x14ac:dyDescent="0.25">
      <c r="B16" t="s">
        <v>548</v>
      </c>
      <c r="C16" t="s">
        <v>528</v>
      </c>
      <c r="D16" t="s">
        <v>550</v>
      </c>
      <c r="E16">
        <v>1</v>
      </c>
      <c r="F16">
        <v>0.25146484375</v>
      </c>
      <c r="G16">
        <v>644</v>
      </c>
      <c r="H16">
        <v>644</v>
      </c>
      <c r="I16">
        <v>654</v>
      </c>
      <c r="J16" t="s">
        <v>532</v>
      </c>
      <c r="K16">
        <v>654</v>
      </c>
      <c r="L16">
        <v>0.25171105780366998</v>
      </c>
      <c r="M16">
        <v>0.25668057882295497</v>
      </c>
    </row>
    <row r="17" spans="2:13" x14ac:dyDescent="0.25">
      <c r="B17" t="s">
        <v>551</v>
      </c>
      <c r="C17" t="s">
        <v>528</v>
      </c>
      <c r="D17" t="s">
        <v>552</v>
      </c>
      <c r="E17">
        <v>1</v>
      </c>
      <c r="F17">
        <v>0</v>
      </c>
      <c r="G17">
        <v>141</v>
      </c>
      <c r="H17">
        <v>141</v>
      </c>
      <c r="I17">
        <v>144</v>
      </c>
      <c r="J17" t="s">
        <v>553</v>
      </c>
      <c r="K17">
        <v>143.5</v>
      </c>
      <c r="L17" t="s">
        <v>554</v>
      </c>
      <c r="M17" t="s">
        <v>554</v>
      </c>
    </row>
    <row r="18" spans="2:13" x14ac:dyDescent="0.25">
      <c r="B18" t="s">
        <v>551</v>
      </c>
      <c r="C18" t="s">
        <v>528</v>
      </c>
      <c r="D18" t="s">
        <v>555</v>
      </c>
      <c r="E18">
        <v>1</v>
      </c>
      <c r="F18">
        <v>0</v>
      </c>
      <c r="G18">
        <v>146</v>
      </c>
      <c r="H18">
        <v>146</v>
      </c>
      <c r="I18">
        <v>144</v>
      </c>
      <c r="J18" t="s">
        <v>556</v>
      </c>
      <c r="K18">
        <v>143.5</v>
      </c>
      <c r="L18">
        <v>1.0526541654586601E-3</v>
      </c>
      <c r="M18" t="s">
        <v>554</v>
      </c>
    </row>
    <row r="19" spans="2:13" x14ac:dyDescent="0.25">
      <c r="B19" t="s">
        <v>557</v>
      </c>
      <c r="C19" t="s">
        <v>528</v>
      </c>
      <c r="D19" t="s">
        <v>558</v>
      </c>
      <c r="E19">
        <v>1</v>
      </c>
      <c r="G19">
        <v>177</v>
      </c>
      <c r="H19">
        <v>177</v>
      </c>
      <c r="I19">
        <v>179</v>
      </c>
      <c r="J19" t="s">
        <v>556</v>
      </c>
      <c r="K19">
        <v>178.5</v>
      </c>
      <c r="L19">
        <v>1.71741501512634E-2</v>
      </c>
      <c r="M19">
        <v>1.7945601105720198E-2</v>
      </c>
    </row>
    <row r="20" spans="2:13" x14ac:dyDescent="0.25">
      <c r="B20" t="s">
        <v>557</v>
      </c>
      <c r="C20" t="s">
        <v>528</v>
      </c>
      <c r="D20" t="s">
        <v>559</v>
      </c>
      <c r="E20">
        <v>1</v>
      </c>
      <c r="G20">
        <v>180</v>
      </c>
      <c r="H20">
        <v>180</v>
      </c>
      <c r="I20">
        <v>179</v>
      </c>
      <c r="J20" t="s">
        <v>556</v>
      </c>
      <c r="K20">
        <v>178.5</v>
      </c>
      <c r="L20">
        <v>1.8717052060177101E-2</v>
      </c>
      <c r="M20">
        <v>1.7945601105720198E-2</v>
      </c>
    </row>
    <row r="21" spans="2:13" x14ac:dyDescent="0.25">
      <c r="B21" t="s">
        <v>560</v>
      </c>
      <c r="C21" t="s">
        <v>528</v>
      </c>
      <c r="D21" t="s">
        <v>561</v>
      </c>
      <c r="E21">
        <v>1</v>
      </c>
      <c r="G21">
        <v>153</v>
      </c>
      <c r="H21">
        <v>153</v>
      </c>
      <c r="I21">
        <v>157</v>
      </c>
      <c r="J21" t="s">
        <v>556</v>
      </c>
      <c r="K21">
        <v>157</v>
      </c>
      <c r="L21">
        <v>4.7424281778234599E-3</v>
      </c>
      <c r="M21">
        <v>6.8259544447678601E-3</v>
      </c>
    </row>
    <row r="22" spans="2:13" x14ac:dyDescent="0.25">
      <c r="B22" t="s">
        <v>560</v>
      </c>
      <c r="C22" t="s">
        <v>528</v>
      </c>
      <c r="D22" t="s">
        <v>562</v>
      </c>
      <c r="E22">
        <v>1</v>
      </c>
      <c r="G22">
        <v>161</v>
      </c>
      <c r="H22">
        <v>161</v>
      </c>
      <c r="I22">
        <v>157</v>
      </c>
      <c r="J22" t="s">
        <v>556</v>
      </c>
      <c r="K22">
        <v>157</v>
      </c>
      <c r="L22">
        <v>8.9094807117122699E-3</v>
      </c>
      <c r="M22">
        <v>6.8259544447678601E-3</v>
      </c>
    </row>
    <row r="23" spans="2:13" x14ac:dyDescent="0.25">
      <c r="B23" t="s">
        <v>563</v>
      </c>
      <c r="C23" t="s">
        <v>528</v>
      </c>
      <c r="D23" t="s">
        <v>564</v>
      </c>
      <c r="E23">
        <v>1</v>
      </c>
      <c r="G23">
        <v>162</v>
      </c>
      <c r="H23">
        <v>162</v>
      </c>
      <c r="I23">
        <v>171</v>
      </c>
      <c r="J23" t="s">
        <v>556</v>
      </c>
      <c r="K23">
        <v>171</v>
      </c>
      <c r="L23">
        <v>9.42827068384809E-3</v>
      </c>
      <c r="M23">
        <v>1.40726613720126E-2</v>
      </c>
    </row>
    <row r="24" spans="2:13" x14ac:dyDescent="0.25">
      <c r="B24" t="s">
        <v>563</v>
      </c>
      <c r="C24" t="s">
        <v>528</v>
      </c>
      <c r="D24" t="s">
        <v>565</v>
      </c>
      <c r="E24">
        <v>1</v>
      </c>
      <c r="G24">
        <v>180</v>
      </c>
      <c r="H24">
        <v>180</v>
      </c>
      <c r="I24">
        <v>171</v>
      </c>
      <c r="J24" t="s">
        <v>556</v>
      </c>
      <c r="K24">
        <v>171</v>
      </c>
      <c r="L24">
        <v>1.8717052060177101E-2</v>
      </c>
      <c r="M24">
        <v>1.40726613720126E-2</v>
      </c>
    </row>
    <row r="25" spans="2:13" x14ac:dyDescent="0.25">
      <c r="B25" t="s">
        <v>566</v>
      </c>
      <c r="C25" t="s">
        <v>528</v>
      </c>
      <c r="D25" t="s">
        <v>567</v>
      </c>
      <c r="E25">
        <v>1</v>
      </c>
      <c r="G25">
        <v>159</v>
      </c>
      <c r="H25">
        <v>159</v>
      </c>
      <c r="I25">
        <v>165</v>
      </c>
      <c r="J25" t="s">
        <v>556</v>
      </c>
      <c r="K25">
        <v>165</v>
      </c>
      <c r="L25">
        <v>7.8707008348459801E-3</v>
      </c>
      <c r="M25">
        <v>1.0976733974319201E-2</v>
      </c>
    </row>
    <row r="26" spans="2:13" x14ac:dyDescent="0.25">
      <c r="B26" t="s">
        <v>566</v>
      </c>
      <c r="C26" t="s">
        <v>528</v>
      </c>
      <c r="D26" t="s">
        <v>568</v>
      </c>
      <c r="E26">
        <v>1</v>
      </c>
      <c r="G26">
        <v>171</v>
      </c>
      <c r="H26">
        <v>171</v>
      </c>
      <c r="I26">
        <v>165</v>
      </c>
      <c r="J26" t="s">
        <v>556</v>
      </c>
      <c r="K26">
        <v>165</v>
      </c>
      <c r="L26">
        <v>1.40827671137924E-2</v>
      </c>
      <c r="M26">
        <v>1.0976733974319201E-2</v>
      </c>
    </row>
    <row r="27" spans="2:13" x14ac:dyDescent="0.25">
      <c r="B27" t="s">
        <v>569</v>
      </c>
      <c r="C27" t="s">
        <v>528</v>
      </c>
      <c r="D27" t="s">
        <v>570</v>
      </c>
      <c r="E27">
        <v>1</v>
      </c>
      <c r="G27">
        <v>226</v>
      </c>
      <c r="H27">
        <v>226</v>
      </c>
      <c r="I27">
        <v>210</v>
      </c>
      <c r="J27" t="s">
        <v>532</v>
      </c>
      <c r="K27">
        <v>210</v>
      </c>
      <c r="L27">
        <v>4.2221105294398903E-2</v>
      </c>
      <c r="M27">
        <v>3.4059246644362197E-2</v>
      </c>
    </row>
    <row r="28" spans="2:13" x14ac:dyDescent="0.25">
      <c r="B28" t="s">
        <v>569</v>
      </c>
      <c r="C28" t="s">
        <v>528</v>
      </c>
      <c r="D28" t="s">
        <v>571</v>
      </c>
      <c r="E28">
        <v>1</v>
      </c>
      <c r="G28">
        <v>194</v>
      </c>
      <c r="H28">
        <v>194</v>
      </c>
      <c r="I28">
        <v>210</v>
      </c>
      <c r="J28" t="s">
        <v>532</v>
      </c>
      <c r="K28">
        <v>210</v>
      </c>
      <c r="L28">
        <v>2.5897387994325501E-2</v>
      </c>
      <c r="M28">
        <v>3.4059246644362197E-2</v>
      </c>
    </row>
    <row r="29" spans="2:13" x14ac:dyDescent="0.25">
      <c r="B29" t="s">
        <v>572</v>
      </c>
      <c r="C29" t="s">
        <v>528</v>
      </c>
      <c r="D29" t="s">
        <v>573</v>
      </c>
      <c r="E29">
        <v>1</v>
      </c>
      <c r="G29">
        <v>149</v>
      </c>
      <c r="H29">
        <v>149</v>
      </c>
      <c r="I29">
        <v>157</v>
      </c>
      <c r="J29" t="s">
        <v>556</v>
      </c>
      <c r="K29">
        <v>157</v>
      </c>
      <c r="L29">
        <v>2.6423138455599401E-3</v>
      </c>
      <c r="M29">
        <v>6.81240714493623E-3</v>
      </c>
    </row>
    <row r="30" spans="2:13" x14ac:dyDescent="0.25">
      <c r="B30" t="s">
        <v>572</v>
      </c>
      <c r="C30" t="s">
        <v>528</v>
      </c>
      <c r="D30" t="s">
        <v>574</v>
      </c>
      <c r="E30">
        <v>1</v>
      </c>
      <c r="G30">
        <v>165</v>
      </c>
      <c r="H30">
        <v>165</v>
      </c>
      <c r="I30">
        <v>157</v>
      </c>
      <c r="J30" t="s">
        <v>556</v>
      </c>
      <c r="K30">
        <v>157</v>
      </c>
      <c r="L30">
        <v>1.0982500444312499E-2</v>
      </c>
      <c r="M30">
        <v>6.81240714493623E-3</v>
      </c>
    </row>
    <row r="31" spans="2:13" x14ac:dyDescent="0.25">
      <c r="B31" t="s">
        <v>575</v>
      </c>
      <c r="C31" t="s">
        <v>528</v>
      </c>
      <c r="D31" t="s">
        <v>576</v>
      </c>
      <c r="E31">
        <v>1</v>
      </c>
      <c r="G31">
        <v>172</v>
      </c>
      <c r="H31">
        <v>172</v>
      </c>
      <c r="I31">
        <v>169</v>
      </c>
      <c r="J31" t="s">
        <v>556</v>
      </c>
      <c r="K31">
        <v>168.5</v>
      </c>
      <c r="L31">
        <v>1.45985610383938E-2</v>
      </c>
      <c r="M31">
        <v>1.27905307413531E-2</v>
      </c>
    </row>
    <row r="32" spans="2:13" x14ac:dyDescent="0.25">
      <c r="B32" t="s">
        <v>575</v>
      </c>
      <c r="C32" t="s">
        <v>528</v>
      </c>
      <c r="D32" t="s">
        <v>577</v>
      </c>
      <c r="E32">
        <v>1</v>
      </c>
      <c r="G32">
        <v>165</v>
      </c>
      <c r="H32">
        <v>165</v>
      </c>
      <c r="I32">
        <v>169</v>
      </c>
      <c r="J32" t="s">
        <v>556</v>
      </c>
      <c r="K32">
        <v>168.5</v>
      </c>
      <c r="L32">
        <v>1.0982500444312499E-2</v>
      </c>
      <c r="M32">
        <v>1.27905307413531E-2</v>
      </c>
    </row>
    <row r="33" spans="2:13" x14ac:dyDescent="0.25">
      <c r="B33" t="s">
        <v>578</v>
      </c>
      <c r="C33" t="s">
        <v>528</v>
      </c>
      <c r="D33" t="s">
        <v>579</v>
      </c>
      <c r="E33">
        <v>1</v>
      </c>
      <c r="G33">
        <v>175</v>
      </c>
      <c r="H33">
        <v>175</v>
      </c>
      <c r="I33">
        <v>162</v>
      </c>
      <c r="J33" t="s">
        <v>556</v>
      </c>
      <c r="K33">
        <v>162</v>
      </c>
      <c r="L33">
        <v>1.6144560223592199E-2</v>
      </c>
      <c r="M33">
        <v>9.3934370345760809E-3</v>
      </c>
    </row>
    <row r="34" spans="2:13" x14ac:dyDescent="0.25">
      <c r="B34" t="s">
        <v>578</v>
      </c>
      <c r="C34" t="s">
        <v>528</v>
      </c>
      <c r="D34" t="s">
        <v>580</v>
      </c>
      <c r="E34">
        <v>1</v>
      </c>
      <c r="G34">
        <v>149</v>
      </c>
      <c r="H34">
        <v>149</v>
      </c>
      <c r="I34">
        <v>162</v>
      </c>
      <c r="J34" t="s">
        <v>556</v>
      </c>
      <c r="K34">
        <v>162</v>
      </c>
      <c r="L34">
        <v>2.6423138455599401E-3</v>
      </c>
      <c r="M34">
        <v>9.3934370345760809E-3</v>
      </c>
    </row>
    <row r="35" spans="2:13" x14ac:dyDescent="0.25">
      <c r="B35" t="s">
        <v>581</v>
      </c>
      <c r="C35" t="s">
        <v>528</v>
      </c>
      <c r="D35" t="s">
        <v>582</v>
      </c>
      <c r="E35">
        <v>1</v>
      </c>
      <c r="G35">
        <v>159</v>
      </c>
      <c r="H35">
        <v>159</v>
      </c>
      <c r="I35">
        <v>162</v>
      </c>
      <c r="J35" t="s">
        <v>556</v>
      </c>
      <c r="K35">
        <v>162</v>
      </c>
      <c r="L35">
        <v>7.8707008348459801E-3</v>
      </c>
      <c r="M35">
        <v>9.4266006395792492E-3</v>
      </c>
    </row>
    <row r="36" spans="2:13" x14ac:dyDescent="0.25">
      <c r="B36" t="s">
        <v>581</v>
      </c>
      <c r="C36" t="s">
        <v>528</v>
      </c>
      <c r="D36" t="s">
        <v>583</v>
      </c>
      <c r="E36">
        <v>1</v>
      </c>
      <c r="G36">
        <v>165</v>
      </c>
      <c r="H36">
        <v>165</v>
      </c>
      <c r="I36">
        <v>162</v>
      </c>
      <c r="J36" t="s">
        <v>556</v>
      </c>
      <c r="K36">
        <v>162</v>
      </c>
      <c r="L36">
        <v>1.0982500444312499E-2</v>
      </c>
      <c r="M36">
        <v>9.4266006395792492E-3</v>
      </c>
    </row>
    <row r="37" spans="2:13" x14ac:dyDescent="0.25">
      <c r="B37" t="s">
        <v>584</v>
      </c>
      <c r="C37" t="s">
        <v>528</v>
      </c>
      <c r="D37" t="s">
        <v>585</v>
      </c>
      <c r="E37">
        <v>1</v>
      </c>
      <c r="G37">
        <v>149</v>
      </c>
      <c r="H37">
        <v>149</v>
      </c>
      <c r="I37">
        <v>155</v>
      </c>
      <c r="J37" t="s">
        <v>556</v>
      </c>
      <c r="K37">
        <v>155</v>
      </c>
      <c r="L37">
        <v>2.6423138455599401E-3</v>
      </c>
      <c r="M37">
        <v>5.7758972786360998E-3</v>
      </c>
    </row>
    <row r="38" spans="2:13" x14ac:dyDescent="0.25">
      <c r="B38" t="s">
        <v>584</v>
      </c>
      <c r="C38" t="s">
        <v>528</v>
      </c>
      <c r="D38" t="s">
        <v>586</v>
      </c>
      <c r="E38">
        <v>1</v>
      </c>
      <c r="G38">
        <v>161</v>
      </c>
      <c r="H38">
        <v>161</v>
      </c>
      <c r="I38">
        <v>155</v>
      </c>
      <c r="J38" t="s">
        <v>556</v>
      </c>
      <c r="K38">
        <v>155</v>
      </c>
      <c r="L38">
        <v>8.9094807117122699E-3</v>
      </c>
      <c r="M38">
        <v>5.7758972786360998E-3</v>
      </c>
    </row>
    <row r="39" spans="2:13" x14ac:dyDescent="0.25">
      <c r="B39" t="s">
        <v>587</v>
      </c>
      <c r="C39" t="s">
        <v>528</v>
      </c>
      <c r="D39" t="s">
        <v>588</v>
      </c>
      <c r="E39">
        <v>1</v>
      </c>
      <c r="G39">
        <v>171</v>
      </c>
      <c r="H39">
        <v>171</v>
      </c>
      <c r="I39">
        <v>166</v>
      </c>
      <c r="J39" t="s">
        <v>556</v>
      </c>
      <c r="K39">
        <v>165.5</v>
      </c>
      <c r="L39">
        <v>1.40827671137924E-2</v>
      </c>
      <c r="M39">
        <v>1.1236533092293499E-2</v>
      </c>
    </row>
    <row r="40" spans="2:13" x14ac:dyDescent="0.25">
      <c r="B40" t="s">
        <v>587</v>
      </c>
      <c r="C40" t="s">
        <v>528</v>
      </c>
      <c r="D40" t="s">
        <v>589</v>
      </c>
      <c r="E40">
        <v>1</v>
      </c>
      <c r="G40">
        <v>160</v>
      </c>
      <c r="H40">
        <v>160</v>
      </c>
      <c r="I40">
        <v>166</v>
      </c>
      <c r="J40" t="s">
        <v>556</v>
      </c>
      <c r="K40">
        <v>165.5</v>
      </c>
      <c r="L40">
        <v>8.3902990707945494E-3</v>
      </c>
      <c r="M40">
        <v>1.1236533092293499E-2</v>
      </c>
    </row>
    <row r="41" spans="2:13" x14ac:dyDescent="0.25">
      <c r="B41" t="s">
        <v>590</v>
      </c>
      <c r="C41" t="s">
        <v>528</v>
      </c>
      <c r="D41" t="s">
        <v>591</v>
      </c>
      <c r="E41">
        <v>1</v>
      </c>
      <c r="G41">
        <v>198</v>
      </c>
      <c r="H41">
        <v>198</v>
      </c>
      <c r="I41">
        <v>189</v>
      </c>
      <c r="J41" t="s">
        <v>532</v>
      </c>
      <c r="K41">
        <v>188.5</v>
      </c>
      <c r="L41">
        <v>2.79438213915373E-2</v>
      </c>
      <c r="M41">
        <v>2.3073381353631701E-2</v>
      </c>
    </row>
    <row r="42" spans="2:13" x14ac:dyDescent="0.25">
      <c r="B42" t="s">
        <v>590</v>
      </c>
      <c r="C42" t="s">
        <v>528</v>
      </c>
      <c r="D42" t="s">
        <v>592</v>
      </c>
      <c r="E42">
        <v>1</v>
      </c>
      <c r="G42">
        <v>179</v>
      </c>
      <c r="H42">
        <v>179</v>
      </c>
      <c r="I42">
        <v>189</v>
      </c>
      <c r="J42" t="s">
        <v>556</v>
      </c>
      <c r="K42">
        <v>188.5</v>
      </c>
      <c r="L42">
        <v>1.8202941315726098E-2</v>
      </c>
      <c r="M42">
        <v>2.3073381353631701E-2</v>
      </c>
    </row>
    <row r="43" spans="2:13" x14ac:dyDescent="0.25">
      <c r="B43" t="s">
        <v>593</v>
      </c>
      <c r="C43" t="s">
        <v>528</v>
      </c>
      <c r="D43" t="s">
        <v>594</v>
      </c>
      <c r="E43">
        <v>1</v>
      </c>
      <c r="G43">
        <v>156</v>
      </c>
      <c r="H43">
        <v>156</v>
      </c>
      <c r="I43">
        <v>162</v>
      </c>
      <c r="J43" t="s">
        <v>556</v>
      </c>
      <c r="K43">
        <v>161.5</v>
      </c>
      <c r="L43">
        <v>6.30910222987539E-3</v>
      </c>
      <c r="M43">
        <v>9.1630734125475906E-3</v>
      </c>
    </row>
    <row r="44" spans="2:13" x14ac:dyDescent="0.25">
      <c r="B44" t="s">
        <v>593</v>
      </c>
      <c r="C44" t="s">
        <v>528</v>
      </c>
      <c r="D44" t="s">
        <v>595</v>
      </c>
      <c r="E44">
        <v>1</v>
      </c>
      <c r="G44">
        <v>167</v>
      </c>
      <c r="H44">
        <v>167</v>
      </c>
      <c r="I44">
        <v>162</v>
      </c>
      <c r="J44" t="s">
        <v>556</v>
      </c>
      <c r="K44">
        <v>161.5</v>
      </c>
      <c r="L44">
        <v>1.2017044595219699E-2</v>
      </c>
      <c r="M44">
        <v>9.1630734125475906E-3</v>
      </c>
    </row>
    <row r="45" spans="2:13" x14ac:dyDescent="0.25">
      <c r="B45" t="s">
        <v>596</v>
      </c>
      <c r="C45" t="s">
        <v>528</v>
      </c>
      <c r="D45" t="s">
        <v>597</v>
      </c>
      <c r="E45">
        <v>1</v>
      </c>
      <c r="G45">
        <v>168</v>
      </c>
      <c r="H45">
        <v>168</v>
      </c>
      <c r="I45">
        <v>174</v>
      </c>
      <c r="J45" t="s">
        <v>556</v>
      </c>
      <c r="K45">
        <v>173.5</v>
      </c>
      <c r="L45">
        <v>1.2533877981448499E-2</v>
      </c>
      <c r="M45">
        <v>1.53684096485873E-2</v>
      </c>
    </row>
    <row r="46" spans="2:13" x14ac:dyDescent="0.25">
      <c r="B46" t="s">
        <v>596</v>
      </c>
      <c r="C46" t="s">
        <v>528</v>
      </c>
      <c r="D46" t="s">
        <v>598</v>
      </c>
      <c r="E46">
        <v>1</v>
      </c>
      <c r="G46">
        <v>179</v>
      </c>
      <c r="H46">
        <v>179</v>
      </c>
      <c r="I46">
        <v>174</v>
      </c>
      <c r="J46" t="s">
        <v>556</v>
      </c>
      <c r="K46">
        <v>173.5</v>
      </c>
      <c r="L46">
        <v>1.8202941315726098E-2</v>
      </c>
      <c r="M46">
        <v>1.53684096485873E-2</v>
      </c>
    </row>
    <row r="47" spans="2:13" x14ac:dyDescent="0.25">
      <c r="B47" t="s">
        <v>599</v>
      </c>
      <c r="C47" t="s">
        <v>528</v>
      </c>
      <c r="D47" t="s">
        <v>600</v>
      </c>
      <c r="E47">
        <v>1</v>
      </c>
      <c r="G47">
        <v>202</v>
      </c>
      <c r="H47">
        <v>202</v>
      </c>
      <c r="I47">
        <v>194</v>
      </c>
      <c r="J47" t="s">
        <v>532</v>
      </c>
      <c r="K47">
        <v>193.5</v>
      </c>
      <c r="L47">
        <v>2.9988316126794302E-2</v>
      </c>
      <c r="M47">
        <v>2.5636638769835001E-2</v>
      </c>
    </row>
    <row r="48" spans="2:13" x14ac:dyDescent="0.25">
      <c r="B48" t="s">
        <v>599</v>
      </c>
      <c r="C48" t="s">
        <v>528</v>
      </c>
      <c r="D48" t="s">
        <v>601</v>
      </c>
      <c r="E48">
        <v>1</v>
      </c>
      <c r="G48">
        <v>185</v>
      </c>
      <c r="H48">
        <v>185</v>
      </c>
      <c r="I48">
        <v>194</v>
      </c>
      <c r="J48" t="s">
        <v>532</v>
      </c>
      <c r="K48">
        <v>193.5</v>
      </c>
      <c r="L48">
        <v>2.12849614128757E-2</v>
      </c>
      <c r="M48">
        <v>2.5636638769835001E-2</v>
      </c>
    </row>
    <row r="49" spans="2:13" x14ac:dyDescent="0.25">
      <c r="B49" t="s">
        <v>602</v>
      </c>
      <c r="C49" t="s">
        <v>528</v>
      </c>
      <c r="D49" t="s">
        <v>603</v>
      </c>
      <c r="E49">
        <v>1</v>
      </c>
      <c r="G49">
        <v>176</v>
      </c>
      <c r="H49">
        <v>176</v>
      </c>
      <c r="I49">
        <v>163</v>
      </c>
      <c r="J49" t="s">
        <v>556</v>
      </c>
      <c r="K49">
        <v>162.5</v>
      </c>
      <c r="L49">
        <v>1.6659458153695999E-2</v>
      </c>
      <c r="M49">
        <v>9.6508859996279894E-3</v>
      </c>
    </row>
    <row r="50" spans="2:13" x14ac:dyDescent="0.25">
      <c r="B50" t="s">
        <v>602</v>
      </c>
      <c r="C50" t="s">
        <v>528</v>
      </c>
      <c r="D50" t="s">
        <v>604</v>
      </c>
      <c r="E50">
        <v>1</v>
      </c>
      <c r="G50">
        <v>149</v>
      </c>
      <c r="H50">
        <v>149</v>
      </c>
      <c r="I50">
        <v>163</v>
      </c>
      <c r="J50" t="s">
        <v>556</v>
      </c>
      <c r="K50">
        <v>162.5</v>
      </c>
      <c r="L50">
        <v>2.6423138455599401E-3</v>
      </c>
      <c r="M50">
        <v>9.6508859996279894E-3</v>
      </c>
    </row>
    <row r="51" spans="2:13" x14ac:dyDescent="0.25">
      <c r="B51" t="s">
        <v>605</v>
      </c>
      <c r="C51" t="s">
        <v>528</v>
      </c>
      <c r="D51" t="s">
        <v>606</v>
      </c>
      <c r="E51">
        <v>1</v>
      </c>
      <c r="G51">
        <v>153</v>
      </c>
      <c r="H51">
        <v>153</v>
      </c>
      <c r="I51">
        <v>147</v>
      </c>
      <c r="J51" t="s">
        <v>556</v>
      </c>
      <c r="K51">
        <v>146.5</v>
      </c>
      <c r="L51">
        <v>4.7424281778234599E-3</v>
      </c>
      <c r="M51" t="s">
        <v>554</v>
      </c>
    </row>
    <row r="52" spans="2:13" x14ac:dyDescent="0.25">
      <c r="B52" t="s">
        <v>605</v>
      </c>
      <c r="C52" t="s">
        <v>528</v>
      </c>
      <c r="D52" t="s">
        <v>607</v>
      </c>
      <c r="E52">
        <v>1</v>
      </c>
      <c r="G52">
        <v>140</v>
      </c>
      <c r="H52">
        <v>140</v>
      </c>
      <c r="I52">
        <v>147</v>
      </c>
      <c r="J52" t="s">
        <v>553</v>
      </c>
      <c r="K52">
        <v>146.5</v>
      </c>
      <c r="L52" t="s">
        <v>554</v>
      </c>
      <c r="M52" t="s">
        <v>554</v>
      </c>
    </row>
    <row r="53" spans="2:13" x14ac:dyDescent="0.25">
      <c r="B53" t="s">
        <v>608</v>
      </c>
      <c r="C53" t="s">
        <v>528</v>
      </c>
      <c r="D53" t="s">
        <v>609</v>
      </c>
      <c r="E53">
        <v>1</v>
      </c>
      <c r="G53">
        <v>145</v>
      </c>
      <c r="H53">
        <v>145</v>
      </c>
      <c r="I53">
        <v>141</v>
      </c>
      <c r="J53" t="s">
        <v>556</v>
      </c>
      <c r="K53">
        <v>140.5</v>
      </c>
      <c r="L53" s="255">
        <v>5.16944855836713E-4</v>
      </c>
      <c r="M53" t="s">
        <v>554</v>
      </c>
    </row>
    <row r="54" spans="2:13" x14ac:dyDescent="0.25">
      <c r="B54" t="s">
        <v>608</v>
      </c>
      <c r="C54" t="s">
        <v>528</v>
      </c>
      <c r="D54" t="s">
        <v>610</v>
      </c>
      <c r="E54">
        <v>1</v>
      </c>
      <c r="G54">
        <v>136</v>
      </c>
      <c r="H54">
        <v>136</v>
      </c>
      <c r="I54">
        <v>141</v>
      </c>
      <c r="J54" t="s">
        <v>553</v>
      </c>
      <c r="K54">
        <v>140.5</v>
      </c>
      <c r="L54" t="s">
        <v>554</v>
      </c>
      <c r="M54" t="s">
        <v>554</v>
      </c>
    </row>
    <row r="55" spans="2:13" x14ac:dyDescent="0.25">
      <c r="B55" t="s">
        <v>611</v>
      </c>
      <c r="C55" t="s">
        <v>528</v>
      </c>
      <c r="D55" t="s">
        <v>612</v>
      </c>
      <c r="E55">
        <v>1</v>
      </c>
      <c r="G55">
        <v>161</v>
      </c>
      <c r="H55">
        <v>161</v>
      </c>
      <c r="I55">
        <v>156</v>
      </c>
      <c r="J55" t="s">
        <v>556</v>
      </c>
      <c r="K55">
        <v>155.5</v>
      </c>
      <c r="L55">
        <v>8.9094807117122699E-3</v>
      </c>
      <c r="M55">
        <v>6.0391856746423202E-3</v>
      </c>
    </row>
    <row r="56" spans="2:13" x14ac:dyDescent="0.25">
      <c r="B56" t="s">
        <v>611</v>
      </c>
      <c r="C56" t="s">
        <v>528</v>
      </c>
      <c r="D56" t="s">
        <v>613</v>
      </c>
      <c r="E56">
        <v>1</v>
      </c>
      <c r="G56">
        <v>150</v>
      </c>
      <c r="H56">
        <v>150</v>
      </c>
      <c r="I56">
        <v>156</v>
      </c>
      <c r="J56" t="s">
        <v>556</v>
      </c>
      <c r="K56">
        <v>155.5</v>
      </c>
      <c r="L56">
        <v>3.1688906375723701E-3</v>
      </c>
      <c r="M56">
        <v>6.0391856746423202E-3</v>
      </c>
    </row>
    <row r="57" spans="2:13" x14ac:dyDescent="0.25">
      <c r="B57" t="s">
        <v>614</v>
      </c>
      <c r="C57" t="s">
        <v>528</v>
      </c>
      <c r="D57" t="s">
        <v>615</v>
      </c>
      <c r="E57">
        <v>1</v>
      </c>
      <c r="G57">
        <v>130</v>
      </c>
      <c r="H57">
        <v>130</v>
      </c>
      <c r="I57">
        <v>139</v>
      </c>
      <c r="J57" t="s">
        <v>553</v>
      </c>
      <c r="K57">
        <v>138.5</v>
      </c>
      <c r="L57" t="s">
        <v>554</v>
      </c>
      <c r="M57" t="s">
        <v>554</v>
      </c>
    </row>
    <row r="58" spans="2:13" x14ac:dyDescent="0.25">
      <c r="B58" t="s">
        <v>614</v>
      </c>
      <c r="C58" t="s">
        <v>528</v>
      </c>
      <c r="D58" t="s">
        <v>616</v>
      </c>
      <c r="E58">
        <v>1</v>
      </c>
      <c r="G58">
        <v>147</v>
      </c>
      <c r="H58">
        <v>147</v>
      </c>
      <c r="I58">
        <v>139</v>
      </c>
      <c r="J58" t="s">
        <v>556</v>
      </c>
      <c r="K58">
        <v>138.5</v>
      </c>
      <c r="L58">
        <v>1.58468429064356E-3</v>
      </c>
      <c r="M58" t="s">
        <v>554</v>
      </c>
    </row>
    <row r="59" spans="2:13" x14ac:dyDescent="0.25">
      <c r="B59" t="s">
        <v>617</v>
      </c>
      <c r="C59" t="s">
        <v>528</v>
      </c>
      <c r="D59" t="s">
        <v>618</v>
      </c>
      <c r="E59">
        <v>1</v>
      </c>
      <c r="G59">
        <v>170</v>
      </c>
      <c r="H59">
        <v>170</v>
      </c>
      <c r="I59">
        <v>187</v>
      </c>
      <c r="J59" t="s">
        <v>556</v>
      </c>
      <c r="K59">
        <v>186.5</v>
      </c>
      <c r="L59">
        <v>1.35667284678028E-2</v>
      </c>
      <c r="M59">
        <v>2.20329408506224E-2</v>
      </c>
    </row>
    <row r="60" spans="2:13" x14ac:dyDescent="0.25">
      <c r="B60" t="s">
        <v>617</v>
      </c>
      <c r="C60" t="s">
        <v>528</v>
      </c>
      <c r="D60" t="s">
        <v>619</v>
      </c>
      <c r="E60">
        <v>1</v>
      </c>
      <c r="G60">
        <v>203</v>
      </c>
      <c r="H60">
        <v>203</v>
      </c>
      <c r="I60">
        <v>187</v>
      </c>
      <c r="J60" t="s">
        <v>532</v>
      </c>
      <c r="K60">
        <v>186.5</v>
      </c>
      <c r="L60">
        <v>3.0499153233441999E-2</v>
      </c>
      <c r="M60">
        <v>2.20329408506224E-2</v>
      </c>
    </row>
    <row r="61" spans="2:13" x14ac:dyDescent="0.25">
      <c r="B61" t="s">
        <v>620</v>
      </c>
      <c r="C61" t="s">
        <v>528</v>
      </c>
      <c r="D61" t="s">
        <v>621</v>
      </c>
      <c r="E61">
        <v>1</v>
      </c>
      <c r="G61">
        <v>181</v>
      </c>
      <c r="H61">
        <v>181</v>
      </c>
      <c r="I61">
        <v>184</v>
      </c>
      <c r="J61" t="s">
        <v>556</v>
      </c>
      <c r="K61">
        <v>183.5</v>
      </c>
      <c r="L61">
        <v>1.9230980086251601E-2</v>
      </c>
      <c r="M61">
        <v>2.0514513056676498E-2</v>
      </c>
    </row>
    <row r="62" spans="2:13" x14ac:dyDescent="0.25">
      <c r="B62" t="s">
        <v>620</v>
      </c>
      <c r="C62" t="s">
        <v>528</v>
      </c>
      <c r="D62" t="s">
        <v>622</v>
      </c>
      <c r="E62">
        <v>1</v>
      </c>
      <c r="G62">
        <v>186</v>
      </c>
      <c r="H62">
        <v>186</v>
      </c>
      <c r="I62">
        <v>184</v>
      </c>
      <c r="J62" t="s">
        <v>532</v>
      </c>
      <c r="K62">
        <v>183.5</v>
      </c>
      <c r="L62">
        <v>2.1798046027101399E-2</v>
      </c>
      <c r="M62">
        <v>2.0514513056676498E-2</v>
      </c>
    </row>
    <row r="63" spans="2:13" x14ac:dyDescent="0.25">
      <c r="B63" t="s">
        <v>623</v>
      </c>
      <c r="C63" t="s">
        <v>528</v>
      </c>
      <c r="D63" t="s">
        <v>624</v>
      </c>
      <c r="E63">
        <v>1</v>
      </c>
      <c r="G63">
        <v>209</v>
      </c>
      <c r="H63">
        <v>209</v>
      </c>
      <c r="I63">
        <v>185</v>
      </c>
      <c r="J63" t="s">
        <v>532</v>
      </c>
      <c r="K63">
        <v>184.5</v>
      </c>
      <c r="L63">
        <v>3.3561915614257698E-2</v>
      </c>
      <c r="M63">
        <v>2.0976107342526099E-2</v>
      </c>
    </row>
    <row r="64" spans="2:13" x14ac:dyDescent="0.25">
      <c r="B64" t="s">
        <v>623</v>
      </c>
      <c r="C64" t="s">
        <v>528</v>
      </c>
      <c r="D64" t="s">
        <v>625</v>
      </c>
      <c r="E64">
        <v>1</v>
      </c>
      <c r="G64">
        <v>160</v>
      </c>
      <c r="H64">
        <v>160</v>
      </c>
      <c r="I64">
        <v>185</v>
      </c>
      <c r="J64" t="s">
        <v>556</v>
      </c>
      <c r="K64">
        <v>184.5</v>
      </c>
      <c r="L64">
        <v>8.3902990707945494E-3</v>
      </c>
      <c r="M64">
        <v>2.0976107342526099E-2</v>
      </c>
    </row>
    <row r="65" spans="2:13" x14ac:dyDescent="0.25">
      <c r="B65" t="s">
        <v>626</v>
      </c>
      <c r="C65" t="s">
        <v>528</v>
      </c>
      <c r="D65" t="s">
        <v>627</v>
      </c>
      <c r="E65">
        <v>1</v>
      </c>
      <c r="G65">
        <v>172</v>
      </c>
      <c r="H65">
        <v>172</v>
      </c>
      <c r="I65">
        <v>179</v>
      </c>
      <c r="J65" t="s">
        <v>556</v>
      </c>
      <c r="K65">
        <v>179</v>
      </c>
      <c r="L65">
        <v>1.45985610383938E-2</v>
      </c>
      <c r="M65">
        <v>1.8198303532747599E-2</v>
      </c>
    </row>
    <row r="66" spans="2:13" x14ac:dyDescent="0.25">
      <c r="B66" t="s">
        <v>626</v>
      </c>
      <c r="C66" t="s">
        <v>528</v>
      </c>
      <c r="D66" t="s">
        <v>628</v>
      </c>
      <c r="E66">
        <v>1</v>
      </c>
      <c r="G66">
        <v>186</v>
      </c>
      <c r="H66">
        <v>186</v>
      </c>
      <c r="I66">
        <v>179</v>
      </c>
      <c r="J66" t="s">
        <v>532</v>
      </c>
      <c r="K66">
        <v>179</v>
      </c>
      <c r="L66">
        <v>2.1798046027101399E-2</v>
      </c>
      <c r="M66">
        <v>1.8198303532747599E-2</v>
      </c>
    </row>
    <row r="67" spans="2:13" x14ac:dyDescent="0.25">
      <c r="B67" t="s">
        <v>629</v>
      </c>
      <c r="C67" t="s">
        <v>528</v>
      </c>
      <c r="D67" t="s">
        <v>630</v>
      </c>
      <c r="E67">
        <v>1</v>
      </c>
      <c r="G67">
        <v>173</v>
      </c>
      <c r="H67">
        <v>173</v>
      </c>
      <c r="I67">
        <v>173</v>
      </c>
      <c r="J67" t="s">
        <v>556</v>
      </c>
      <c r="K67">
        <v>173</v>
      </c>
      <c r="L67">
        <v>1.51141191182843E-2</v>
      </c>
      <c r="M67">
        <v>1.51141191182843E-2</v>
      </c>
    </row>
    <row r="68" spans="2:13" x14ac:dyDescent="0.25">
      <c r="B68" t="s">
        <v>629</v>
      </c>
      <c r="C68" t="s">
        <v>528</v>
      </c>
      <c r="D68" t="s">
        <v>631</v>
      </c>
      <c r="E68">
        <v>1</v>
      </c>
      <c r="G68">
        <v>173</v>
      </c>
      <c r="H68">
        <v>173</v>
      </c>
      <c r="I68">
        <v>173</v>
      </c>
      <c r="J68" t="s">
        <v>556</v>
      </c>
      <c r="K68">
        <v>173</v>
      </c>
      <c r="L68">
        <v>1.51141191182843E-2</v>
      </c>
      <c r="M68">
        <v>1.51141191182843E-2</v>
      </c>
    </row>
    <row r="69" spans="2:13" x14ac:dyDescent="0.25">
      <c r="B69" t="s">
        <v>632</v>
      </c>
      <c r="C69" t="s">
        <v>528</v>
      </c>
      <c r="D69" t="s">
        <v>633</v>
      </c>
      <c r="E69">
        <v>1</v>
      </c>
      <c r="G69">
        <v>144</v>
      </c>
      <c r="H69">
        <v>144</v>
      </c>
      <c r="I69">
        <v>157</v>
      </c>
      <c r="J69" t="s">
        <v>553</v>
      </c>
      <c r="K69">
        <v>156.5</v>
      </c>
      <c r="L69" t="s">
        <v>554</v>
      </c>
      <c r="M69" t="s">
        <v>554</v>
      </c>
    </row>
    <row r="70" spans="2:13" x14ac:dyDescent="0.25">
      <c r="B70" t="s">
        <v>632</v>
      </c>
      <c r="C70" t="s">
        <v>528</v>
      </c>
      <c r="D70" t="s">
        <v>634</v>
      </c>
      <c r="E70">
        <v>1</v>
      </c>
      <c r="G70">
        <v>169</v>
      </c>
      <c r="H70">
        <v>169</v>
      </c>
      <c r="I70">
        <v>157</v>
      </c>
      <c r="J70" t="s">
        <v>556</v>
      </c>
      <c r="K70">
        <v>156.5</v>
      </c>
      <c r="L70">
        <v>1.30504355367185E-2</v>
      </c>
      <c r="M70" t="s">
        <v>554</v>
      </c>
    </row>
    <row r="71" spans="2:13" x14ac:dyDescent="0.25">
      <c r="B71" t="s">
        <v>635</v>
      </c>
      <c r="C71" t="s">
        <v>528</v>
      </c>
      <c r="D71" t="s">
        <v>636</v>
      </c>
      <c r="E71">
        <v>1</v>
      </c>
      <c r="G71">
        <v>176</v>
      </c>
      <c r="H71">
        <v>176</v>
      </c>
      <c r="I71">
        <v>173</v>
      </c>
      <c r="J71" t="s">
        <v>556</v>
      </c>
      <c r="K71">
        <v>173</v>
      </c>
      <c r="L71">
        <v>1.6659458153695999E-2</v>
      </c>
      <c r="M71">
        <v>1.5113093310749399E-2</v>
      </c>
    </row>
    <row r="72" spans="2:13" x14ac:dyDescent="0.25">
      <c r="B72" t="s">
        <v>635</v>
      </c>
      <c r="C72" t="s">
        <v>528</v>
      </c>
      <c r="D72" t="s">
        <v>637</v>
      </c>
      <c r="E72">
        <v>1</v>
      </c>
      <c r="G72">
        <v>170</v>
      </c>
      <c r="H72">
        <v>170</v>
      </c>
      <c r="I72">
        <v>173</v>
      </c>
      <c r="J72" t="s">
        <v>556</v>
      </c>
      <c r="K72">
        <v>173</v>
      </c>
      <c r="L72">
        <v>1.35667284678028E-2</v>
      </c>
      <c r="M72">
        <v>1.5113093310749399E-2</v>
      </c>
    </row>
    <row r="73" spans="2:13" x14ac:dyDescent="0.25">
      <c r="B73" t="s">
        <v>638</v>
      </c>
      <c r="C73" t="s">
        <v>528</v>
      </c>
      <c r="D73" t="s">
        <v>639</v>
      </c>
      <c r="E73">
        <v>1</v>
      </c>
      <c r="G73">
        <v>169</v>
      </c>
      <c r="H73">
        <v>169</v>
      </c>
      <c r="I73">
        <v>152</v>
      </c>
      <c r="J73" t="s">
        <v>556</v>
      </c>
      <c r="K73">
        <v>152</v>
      </c>
      <c r="L73">
        <v>1.30504355367185E-2</v>
      </c>
      <c r="M73" t="s">
        <v>554</v>
      </c>
    </row>
    <row r="74" spans="2:13" x14ac:dyDescent="0.25">
      <c r="B74" t="s">
        <v>638</v>
      </c>
      <c r="C74" t="s">
        <v>528</v>
      </c>
      <c r="D74" t="s">
        <v>640</v>
      </c>
      <c r="E74">
        <v>1</v>
      </c>
      <c r="G74">
        <v>135</v>
      </c>
      <c r="H74">
        <v>135</v>
      </c>
      <c r="I74">
        <v>152</v>
      </c>
      <c r="J74" t="s">
        <v>553</v>
      </c>
      <c r="K74">
        <v>152</v>
      </c>
      <c r="L74" t="s">
        <v>554</v>
      </c>
      <c r="M74" t="s">
        <v>554</v>
      </c>
    </row>
    <row r="75" spans="2:13" x14ac:dyDescent="0.25">
      <c r="B75" t="s">
        <v>641</v>
      </c>
      <c r="C75" t="s">
        <v>528</v>
      </c>
      <c r="D75" t="s">
        <v>642</v>
      </c>
      <c r="E75">
        <v>1</v>
      </c>
      <c r="G75">
        <v>154</v>
      </c>
      <c r="H75">
        <v>154</v>
      </c>
      <c r="I75">
        <v>155</v>
      </c>
      <c r="J75" t="s">
        <v>556</v>
      </c>
      <c r="K75">
        <v>155</v>
      </c>
      <c r="L75">
        <v>5.2653047780409704E-3</v>
      </c>
      <c r="M75">
        <v>5.7872035039581802E-3</v>
      </c>
    </row>
    <row r="76" spans="2:13" x14ac:dyDescent="0.25">
      <c r="B76" t="s">
        <v>641</v>
      </c>
      <c r="C76" t="s">
        <v>528</v>
      </c>
      <c r="D76" t="s">
        <v>643</v>
      </c>
      <c r="E76">
        <v>1</v>
      </c>
      <c r="G76">
        <v>156</v>
      </c>
      <c r="H76">
        <v>156</v>
      </c>
      <c r="I76">
        <v>155</v>
      </c>
      <c r="J76" t="s">
        <v>556</v>
      </c>
      <c r="K76">
        <v>155</v>
      </c>
      <c r="L76">
        <v>6.30910222987539E-3</v>
      </c>
      <c r="M76">
        <v>5.7872035039581802E-3</v>
      </c>
    </row>
    <row r="77" spans="2:13" x14ac:dyDescent="0.25">
      <c r="B77" t="s">
        <v>644</v>
      </c>
      <c r="C77" t="s">
        <v>528</v>
      </c>
      <c r="D77" t="s">
        <v>645</v>
      </c>
      <c r="E77">
        <v>1</v>
      </c>
      <c r="G77">
        <v>191</v>
      </c>
      <c r="H77">
        <v>191</v>
      </c>
      <c r="I77">
        <v>190</v>
      </c>
      <c r="J77" t="s">
        <v>532</v>
      </c>
      <c r="K77">
        <v>190</v>
      </c>
      <c r="L77">
        <v>2.43611967183015E-2</v>
      </c>
      <c r="M77">
        <v>2.3848786850319999E-2</v>
      </c>
    </row>
    <row r="78" spans="2:13" x14ac:dyDescent="0.25">
      <c r="B78" t="s">
        <v>644</v>
      </c>
      <c r="C78" t="s">
        <v>528</v>
      </c>
      <c r="D78" t="s">
        <v>646</v>
      </c>
      <c r="E78">
        <v>1</v>
      </c>
      <c r="G78">
        <v>189</v>
      </c>
      <c r="H78">
        <v>189</v>
      </c>
      <c r="I78">
        <v>190</v>
      </c>
      <c r="J78" t="s">
        <v>532</v>
      </c>
      <c r="K78">
        <v>190</v>
      </c>
      <c r="L78">
        <v>2.3336376982338598E-2</v>
      </c>
      <c r="M78">
        <v>2.3848786850319999E-2</v>
      </c>
    </row>
    <row r="79" spans="2:13" x14ac:dyDescent="0.25">
      <c r="B79" t="s">
        <v>647</v>
      </c>
      <c r="C79" t="s">
        <v>528</v>
      </c>
      <c r="D79" t="s">
        <v>648</v>
      </c>
      <c r="E79">
        <v>1</v>
      </c>
      <c r="G79">
        <v>160</v>
      </c>
      <c r="H79">
        <v>160</v>
      </c>
      <c r="I79">
        <v>160</v>
      </c>
      <c r="J79" t="s">
        <v>556</v>
      </c>
      <c r="K79">
        <v>160</v>
      </c>
      <c r="L79">
        <v>8.3902990707945494E-3</v>
      </c>
      <c r="M79">
        <v>8.3902990707945494E-3</v>
      </c>
    </row>
    <row r="80" spans="2:13" x14ac:dyDescent="0.25">
      <c r="B80" t="s">
        <v>647</v>
      </c>
      <c r="C80" t="s">
        <v>528</v>
      </c>
      <c r="D80" t="s">
        <v>649</v>
      </c>
      <c r="E80">
        <v>1</v>
      </c>
      <c r="G80">
        <v>160</v>
      </c>
      <c r="H80">
        <v>160</v>
      </c>
      <c r="I80">
        <v>160</v>
      </c>
      <c r="J80" t="s">
        <v>556</v>
      </c>
      <c r="K80">
        <v>160</v>
      </c>
      <c r="L80">
        <v>8.3902990707945494E-3</v>
      </c>
      <c r="M80">
        <v>8.3902990707945494E-3</v>
      </c>
    </row>
    <row r="81" spans="2:13" x14ac:dyDescent="0.25">
      <c r="B81" t="s">
        <v>650</v>
      </c>
      <c r="C81" t="s">
        <v>528</v>
      </c>
      <c r="D81" t="s">
        <v>651</v>
      </c>
      <c r="E81">
        <v>1</v>
      </c>
      <c r="G81">
        <v>177</v>
      </c>
      <c r="H81">
        <v>177</v>
      </c>
      <c r="I81">
        <v>178</v>
      </c>
      <c r="J81" t="s">
        <v>556</v>
      </c>
      <c r="K81">
        <v>178</v>
      </c>
      <c r="L81">
        <v>1.71741501512634E-2</v>
      </c>
      <c r="M81">
        <v>1.7688545733494699E-2</v>
      </c>
    </row>
    <row r="82" spans="2:13" x14ac:dyDescent="0.25">
      <c r="B82" t="s">
        <v>650</v>
      </c>
      <c r="C82" t="s">
        <v>528</v>
      </c>
      <c r="D82" t="s">
        <v>652</v>
      </c>
      <c r="E82">
        <v>1</v>
      </c>
      <c r="G82">
        <v>179</v>
      </c>
      <c r="H82">
        <v>179</v>
      </c>
      <c r="I82">
        <v>178</v>
      </c>
      <c r="J82" t="s">
        <v>556</v>
      </c>
      <c r="K82">
        <v>178</v>
      </c>
      <c r="L82">
        <v>1.8202941315726098E-2</v>
      </c>
      <c r="M82">
        <v>1.7688545733494699E-2</v>
      </c>
    </row>
    <row r="83" spans="2:13" x14ac:dyDescent="0.25">
      <c r="B83" t="s">
        <v>653</v>
      </c>
      <c r="C83" t="s">
        <v>528</v>
      </c>
      <c r="D83" t="s">
        <v>654</v>
      </c>
      <c r="E83">
        <v>1</v>
      </c>
      <c r="G83">
        <v>172</v>
      </c>
      <c r="H83">
        <v>172</v>
      </c>
      <c r="I83">
        <v>174</v>
      </c>
      <c r="J83" t="s">
        <v>556</v>
      </c>
      <c r="K83">
        <v>173.5</v>
      </c>
      <c r="L83">
        <v>1.45985610383938E-2</v>
      </c>
      <c r="M83">
        <v>1.5371560630993E-2</v>
      </c>
    </row>
    <row r="84" spans="2:13" x14ac:dyDescent="0.25">
      <c r="B84" t="s">
        <v>653</v>
      </c>
      <c r="C84" t="s">
        <v>528</v>
      </c>
      <c r="D84" t="s">
        <v>655</v>
      </c>
      <c r="E84">
        <v>1</v>
      </c>
      <c r="G84">
        <v>175</v>
      </c>
      <c r="H84">
        <v>175</v>
      </c>
      <c r="I84">
        <v>174</v>
      </c>
      <c r="J84" t="s">
        <v>556</v>
      </c>
      <c r="K84">
        <v>173.5</v>
      </c>
      <c r="L84">
        <v>1.6144560223592199E-2</v>
      </c>
      <c r="M84">
        <v>1.5371560630993E-2</v>
      </c>
    </row>
    <row r="85" spans="2:13" x14ac:dyDescent="0.25">
      <c r="B85" t="s">
        <v>656</v>
      </c>
      <c r="C85" t="s">
        <v>528</v>
      </c>
      <c r="D85" t="s">
        <v>657</v>
      </c>
      <c r="E85">
        <v>1</v>
      </c>
      <c r="G85">
        <v>184</v>
      </c>
      <c r="H85">
        <v>184</v>
      </c>
      <c r="I85">
        <v>194</v>
      </c>
      <c r="J85" t="s">
        <v>532</v>
      </c>
      <c r="K85">
        <v>193.5</v>
      </c>
      <c r="L85">
        <v>2.0771716683467299E-2</v>
      </c>
      <c r="M85">
        <v>2.5635434958454599E-2</v>
      </c>
    </row>
    <row r="86" spans="2:13" x14ac:dyDescent="0.25">
      <c r="B86" t="s">
        <v>656</v>
      </c>
      <c r="C86" t="s">
        <v>528</v>
      </c>
      <c r="D86" t="s">
        <v>658</v>
      </c>
      <c r="E86">
        <v>1</v>
      </c>
      <c r="G86">
        <v>203</v>
      </c>
      <c r="H86">
        <v>203</v>
      </c>
      <c r="I86">
        <v>194</v>
      </c>
      <c r="J86" t="s">
        <v>532</v>
      </c>
      <c r="K86">
        <v>193.5</v>
      </c>
      <c r="L86">
        <v>3.0499153233441999E-2</v>
      </c>
      <c r="M86">
        <v>2.5635434958454599E-2</v>
      </c>
    </row>
    <row r="87" spans="2:13" x14ac:dyDescent="0.25">
      <c r="B87" t="s">
        <v>659</v>
      </c>
      <c r="C87" t="s">
        <v>528</v>
      </c>
      <c r="D87" t="s">
        <v>660</v>
      </c>
      <c r="E87">
        <v>1</v>
      </c>
      <c r="G87">
        <v>203</v>
      </c>
      <c r="H87">
        <v>203</v>
      </c>
      <c r="I87">
        <v>213</v>
      </c>
      <c r="J87" t="s">
        <v>532</v>
      </c>
      <c r="K87">
        <v>213</v>
      </c>
      <c r="L87">
        <v>3.0499153233441999E-2</v>
      </c>
      <c r="M87">
        <v>3.5596991939442199E-2</v>
      </c>
    </row>
    <row r="88" spans="2:13" x14ac:dyDescent="0.25">
      <c r="B88" t="s">
        <v>659</v>
      </c>
      <c r="C88" t="s">
        <v>528</v>
      </c>
      <c r="D88" t="s">
        <v>661</v>
      </c>
      <c r="E88">
        <v>1</v>
      </c>
      <c r="G88">
        <v>223</v>
      </c>
      <c r="H88">
        <v>223</v>
      </c>
      <c r="I88">
        <v>213</v>
      </c>
      <c r="J88" t="s">
        <v>532</v>
      </c>
      <c r="K88">
        <v>213</v>
      </c>
      <c r="L88">
        <v>4.0694830645442499E-2</v>
      </c>
      <c r="M88">
        <v>3.5596991939442199E-2</v>
      </c>
    </row>
    <row r="89" spans="2:13" x14ac:dyDescent="0.25">
      <c r="B89" t="s">
        <v>662</v>
      </c>
      <c r="C89" t="s">
        <v>528</v>
      </c>
      <c r="D89" t="s">
        <v>663</v>
      </c>
      <c r="E89">
        <v>1</v>
      </c>
      <c r="G89">
        <v>145</v>
      </c>
      <c r="H89">
        <v>145</v>
      </c>
      <c r="I89">
        <v>156</v>
      </c>
      <c r="J89" t="s">
        <v>556</v>
      </c>
      <c r="K89">
        <v>156</v>
      </c>
      <c r="L89" s="255">
        <v>5.16944855836713E-4</v>
      </c>
      <c r="M89">
        <v>6.26699472552825E-3</v>
      </c>
    </row>
    <row r="90" spans="2:13" x14ac:dyDescent="0.25">
      <c r="B90" t="s">
        <v>662</v>
      </c>
      <c r="C90" t="s">
        <v>528</v>
      </c>
      <c r="D90" t="s">
        <v>664</v>
      </c>
      <c r="E90">
        <v>1</v>
      </c>
      <c r="G90">
        <v>167</v>
      </c>
      <c r="H90">
        <v>167</v>
      </c>
      <c r="I90">
        <v>156</v>
      </c>
      <c r="J90" t="s">
        <v>556</v>
      </c>
      <c r="K90">
        <v>156</v>
      </c>
      <c r="L90">
        <v>1.2017044595219699E-2</v>
      </c>
      <c r="M90">
        <v>6.26699472552825E-3</v>
      </c>
    </row>
    <row r="91" spans="2:13" x14ac:dyDescent="0.25">
      <c r="B91" t="s">
        <v>665</v>
      </c>
      <c r="C91" t="s">
        <v>528</v>
      </c>
      <c r="D91" t="s">
        <v>666</v>
      </c>
      <c r="E91">
        <v>1</v>
      </c>
      <c r="G91">
        <v>157</v>
      </c>
      <c r="H91">
        <v>157</v>
      </c>
      <c r="I91">
        <v>165</v>
      </c>
      <c r="J91" t="s">
        <v>556</v>
      </c>
      <c r="K91">
        <v>164.5</v>
      </c>
      <c r="L91">
        <v>6.8301373248791999E-3</v>
      </c>
      <c r="M91">
        <v>1.0714349181636501E-2</v>
      </c>
    </row>
    <row r="92" spans="2:13" x14ac:dyDescent="0.25">
      <c r="B92" t="s">
        <v>665</v>
      </c>
      <c r="C92" t="s">
        <v>528</v>
      </c>
      <c r="D92" t="s">
        <v>667</v>
      </c>
      <c r="E92">
        <v>1</v>
      </c>
      <c r="G92">
        <v>172</v>
      </c>
      <c r="H92">
        <v>172</v>
      </c>
      <c r="I92">
        <v>165</v>
      </c>
      <c r="J92" t="s">
        <v>556</v>
      </c>
      <c r="K92">
        <v>164.5</v>
      </c>
      <c r="L92">
        <v>1.45985610383938E-2</v>
      </c>
      <c r="M92">
        <v>1.0714349181636501E-2</v>
      </c>
    </row>
    <row r="93" spans="2:13" x14ac:dyDescent="0.25">
      <c r="B93" t="s">
        <v>668</v>
      </c>
      <c r="C93" t="s">
        <v>528</v>
      </c>
      <c r="D93" t="s">
        <v>669</v>
      </c>
      <c r="E93">
        <v>1</v>
      </c>
      <c r="G93">
        <v>157</v>
      </c>
      <c r="H93">
        <v>157</v>
      </c>
      <c r="I93">
        <v>166</v>
      </c>
      <c r="J93" t="s">
        <v>556</v>
      </c>
      <c r="K93">
        <v>165.5</v>
      </c>
      <c r="L93">
        <v>6.8301373248791999E-3</v>
      </c>
      <c r="M93">
        <v>1.12297934688052E-2</v>
      </c>
    </row>
    <row r="94" spans="2:13" x14ac:dyDescent="0.25">
      <c r="B94" t="s">
        <v>668</v>
      </c>
      <c r="C94" t="s">
        <v>528</v>
      </c>
      <c r="D94" t="s">
        <v>670</v>
      </c>
      <c r="E94">
        <v>1</v>
      </c>
      <c r="G94">
        <v>174</v>
      </c>
      <c r="H94">
        <v>174</v>
      </c>
      <c r="I94">
        <v>166</v>
      </c>
      <c r="J94" t="s">
        <v>556</v>
      </c>
      <c r="K94">
        <v>165.5</v>
      </c>
      <c r="L94">
        <v>1.5629449612731199E-2</v>
      </c>
      <c r="M94">
        <v>1.12297934688052E-2</v>
      </c>
    </row>
    <row r="95" spans="2:13" x14ac:dyDescent="0.25">
      <c r="B95" t="s">
        <v>671</v>
      </c>
      <c r="C95" t="s">
        <v>528</v>
      </c>
      <c r="D95" t="s">
        <v>672</v>
      </c>
      <c r="E95">
        <v>1</v>
      </c>
      <c r="G95">
        <v>177</v>
      </c>
      <c r="H95">
        <v>177</v>
      </c>
      <c r="I95">
        <v>182</v>
      </c>
      <c r="J95" t="s">
        <v>556</v>
      </c>
      <c r="K95">
        <v>181.5</v>
      </c>
      <c r="L95">
        <v>1.71741501512634E-2</v>
      </c>
      <c r="M95">
        <v>1.9486098089182401E-2</v>
      </c>
    </row>
    <row r="96" spans="2:13" x14ac:dyDescent="0.25">
      <c r="B96" t="s">
        <v>671</v>
      </c>
      <c r="C96" t="s">
        <v>528</v>
      </c>
      <c r="D96" t="s">
        <v>673</v>
      </c>
      <c r="E96">
        <v>1</v>
      </c>
      <c r="G96">
        <v>186</v>
      </c>
      <c r="H96">
        <v>186</v>
      </c>
      <c r="I96">
        <v>182</v>
      </c>
      <c r="J96" t="s">
        <v>532</v>
      </c>
      <c r="K96">
        <v>181.5</v>
      </c>
      <c r="L96">
        <v>2.1798046027101399E-2</v>
      </c>
      <c r="M96">
        <v>1.9486098089182401E-2</v>
      </c>
    </row>
    <row r="97" spans="2:13" x14ac:dyDescent="0.25">
      <c r="B97" t="s">
        <v>674</v>
      </c>
      <c r="C97" t="s">
        <v>528</v>
      </c>
      <c r="D97" t="s">
        <v>675</v>
      </c>
      <c r="E97">
        <v>1</v>
      </c>
      <c r="G97">
        <v>196</v>
      </c>
      <c r="H97">
        <v>196</v>
      </c>
      <c r="I97">
        <v>194</v>
      </c>
      <c r="J97" t="s">
        <v>532</v>
      </c>
      <c r="K97">
        <v>193.5</v>
      </c>
      <c r="L97">
        <v>2.6920856317207E-2</v>
      </c>
      <c r="M97">
        <v>2.5641026517754299E-2</v>
      </c>
    </row>
    <row r="98" spans="2:13" x14ac:dyDescent="0.25">
      <c r="B98" t="s">
        <v>674</v>
      </c>
      <c r="C98" t="s">
        <v>528</v>
      </c>
      <c r="D98" t="s">
        <v>676</v>
      </c>
      <c r="E98">
        <v>1</v>
      </c>
      <c r="G98">
        <v>191</v>
      </c>
      <c r="H98">
        <v>191</v>
      </c>
      <c r="I98">
        <v>194</v>
      </c>
      <c r="J98" t="s">
        <v>532</v>
      </c>
      <c r="K98">
        <v>193.5</v>
      </c>
      <c r="L98">
        <v>2.43611967183015E-2</v>
      </c>
      <c r="M98">
        <v>2.5641026517754299E-2</v>
      </c>
    </row>
    <row r="99" spans="2:13" x14ac:dyDescent="0.25">
      <c r="B99" t="s">
        <v>527</v>
      </c>
      <c r="C99" t="s">
        <v>677</v>
      </c>
      <c r="D99" t="s">
        <v>529</v>
      </c>
      <c r="E99">
        <v>2</v>
      </c>
      <c r="F99">
        <v>1740</v>
      </c>
      <c r="G99">
        <v>1004328</v>
      </c>
      <c r="H99">
        <v>1004328</v>
      </c>
      <c r="I99">
        <v>1045939</v>
      </c>
      <c r="J99" t="s">
        <v>532</v>
      </c>
      <c r="K99">
        <v>1045939</v>
      </c>
      <c r="L99">
        <v>1648.24194678649</v>
      </c>
      <c r="M99">
        <v>1736.6114536298901</v>
      </c>
    </row>
    <row r="100" spans="2:13" x14ac:dyDescent="0.25">
      <c r="B100" t="s">
        <v>527</v>
      </c>
      <c r="C100" t="s">
        <v>677</v>
      </c>
      <c r="D100" t="s">
        <v>531</v>
      </c>
      <c r="E100">
        <v>2</v>
      </c>
      <c r="F100">
        <v>1740</v>
      </c>
      <c r="G100">
        <v>1087550</v>
      </c>
      <c r="H100">
        <v>1087550</v>
      </c>
      <c r="I100">
        <v>1045939</v>
      </c>
      <c r="J100" t="s">
        <v>530</v>
      </c>
      <c r="K100">
        <v>1045939</v>
      </c>
      <c r="L100">
        <v>1824.98096047328</v>
      </c>
      <c r="M100">
        <v>1736.6114536298901</v>
      </c>
    </row>
    <row r="101" spans="2:13" x14ac:dyDescent="0.25">
      <c r="B101" t="s">
        <v>533</v>
      </c>
      <c r="C101" t="s">
        <v>677</v>
      </c>
      <c r="D101" t="s">
        <v>534</v>
      </c>
      <c r="E101">
        <v>2</v>
      </c>
      <c r="F101">
        <v>435</v>
      </c>
      <c r="G101">
        <v>310960</v>
      </c>
      <c r="H101">
        <v>310960</v>
      </c>
      <c r="I101">
        <v>313361</v>
      </c>
      <c r="J101" t="s">
        <v>532</v>
      </c>
      <c r="K101">
        <v>313360.5</v>
      </c>
      <c r="L101">
        <v>431.71386761534302</v>
      </c>
      <c r="M101">
        <v>435.27803368152797</v>
      </c>
    </row>
    <row r="102" spans="2:13" x14ac:dyDescent="0.25">
      <c r="B102" t="s">
        <v>533</v>
      </c>
      <c r="C102" t="s">
        <v>677</v>
      </c>
      <c r="D102" t="s">
        <v>535</v>
      </c>
      <c r="E102">
        <v>2</v>
      </c>
      <c r="F102">
        <v>435</v>
      </c>
      <c r="G102">
        <v>315761</v>
      </c>
      <c r="H102">
        <v>315761</v>
      </c>
      <c r="I102">
        <v>313361</v>
      </c>
      <c r="J102" t="s">
        <v>532</v>
      </c>
      <c r="K102">
        <v>313360.5</v>
      </c>
      <c r="L102">
        <v>438.84219974771298</v>
      </c>
      <c r="M102">
        <v>435.27803368152797</v>
      </c>
    </row>
    <row r="103" spans="2:13" x14ac:dyDescent="0.25">
      <c r="B103" t="s">
        <v>536</v>
      </c>
      <c r="C103" t="s">
        <v>677</v>
      </c>
      <c r="D103" t="s">
        <v>537</v>
      </c>
      <c r="E103">
        <v>2</v>
      </c>
      <c r="F103">
        <v>108.75</v>
      </c>
      <c r="G103">
        <v>82847</v>
      </c>
      <c r="H103">
        <v>82847</v>
      </c>
      <c r="I103">
        <v>84977</v>
      </c>
      <c r="J103" t="s">
        <v>532</v>
      </c>
      <c r="K103">
        <v>84976.5</v>
      </c>
      <c r="L103">
        <v>109.544611675071</v>
      </c>
      <c r="M103">
        <v>112.412779148943</v>
      </c>
    </row>
    <row r="104" spans="2:13" x14ac:dyDescent="0.25">
      <c r="B104" t="s">
        <v>536</v>
      </c>
      <c r="C104" t="s">
        <v>677</v>
      </c>
      <c r="D104" t="s">
        <v>538</v>
      </c>
      <c r="E104">
        <v>2</v>
      </c>
      <c r="F104">
        <v>108.75</v>
      </c>
      <c r="G104">
        <v>87106</v>
      </c>
      <c r="H104">
        <v>87106</v>
      </c>
      <c r="I104">
        <v>84977</v>
      </c>
      <c r="J104" t="s">
        <v>532</v>
      </c>
      <c r="K104">
        <v>84976.5</v>
      </c>
      <c r="L104">
        <v>115.28094662281499</v>
      </c>
      <c r="M104">
        <v>112.412779148943</v>
      </c>
    </row>
    <row r="105" spans="2:13" x14ac:dyDescent="0.25">
      <c r="B105" t="s">
        <v>539</v>
      </c>
      <c r="C105" t="s">
        <v>677</v>
      </c>
      <c r="D105" t="s">
        <v>541</v>
      </c>
      <c r="E105">
        <v>2</v>
      </c>
      <c r="F105">
        <v>27.1875</v>
      </c>
      <c r="G105">
        <v>20158</v>
      </c>
      <c r="H105">
        <v>20158</v>
      </c>
      <c r="I105">
        <v>20296</v>
      </c>
      <c r="J105" t="s">
        <v>532</v>
      </c>
      <c r="K105">
        <v>20296</v>
      </c>
      <c r="L105">
        <v>26.203263841287601</v>
      </c>
      <c r="M105">
        <v>26.384642520995499</v>
      </c>
    </row>
    <row r="106" spans="2:13" x14ac:dyDescent="0.25">
      <c r="B106" t="s">
        <v>539</v>
      </c>
      <c r="C106" t="s">
        <v>677</v>
      </c>
      <c r="D106" t="s">
        <v>540</v>
      </c>
      <c r="E106">
        <v>2</v>
      </c>
      <c r="F106">
        <v>27.1875</v>
      </c>
      <c r="G106">
        <v>20434</v>
      </c>
      <c r="H106">
        <v>20434</v>
      </c>
      <c r="I106">
        <v>20296</v>
      </c>
      <c r="J106" t="s">
        <v>532</v>
      </c>
      <c r="K106">
        <v>20296</v>
      </c>
      <c r="L106">
        <v>26.5660212007034</v>
      </c>
      <c r="M106">
        <v>26.384642520995499</v>
      </c>
    </row>
    <row r="107" spans="2:13" x14ac:dyDescent="0.25">
      <c r="B107" t="s">
        <v>542</v>
      </c>
      <c r="C107" t="s">
        <v>677</v>
      </c>
      <c r="D107" t="s">
        <v>543</v>
      </c>
      <c r="E107">
        <v>2</v>
      </c>
      <c r="F107">
        <v>6.796875</v>
      </c>
      <c r="G107">
        <v>5667</v>
      </c>
      <c r="H107">
        <v>5667</v>
      </c>
      <c r="I107">
        <v>5369</v>
      </c>
      <c r="J107" t="s">
        <v>532</v>
      </c>
      <c r="K107">
        <v>5369</v>
      </c>
      <c r="L107">
        <v>7.1955976213642803</v>
      </c>
      <c r="M107">
        <v>6.8052639519099296</v>
      </c>
    </row>
    <row r="108" spans="2:13" x14ac:dyDescent="0.25">
      <c r="B108" t="s">
        <v>542</v>
      </c>
      <c r="C108" t="s">
        <v>677</v>
      </c>
      <c r="D108" t="s">
        <v>544</v>
      </c>
      <c r="E108">
        <v>2</v>
      </c>
      <c r="F108">
        <v>6.796875</v>
      </c>
      <c r="G108">
        <v>5071</v>
      </c>
      <c r="H108">
        <v>5071</v>
      </c>
      <c r="I108">
        <v>5369</v>
      </c>
      <c r="J108" t="s">
        <v>532</v>
      </c>
      <c r="K108">
        <v>5369</v>
      </c>
      <c r="L108">
        <v>6.4149302824555798</v>
      </c>
      <c r="M108">
        <v>6.8052639519099296</v>
      </c>
    </row>
    <row r="109" spans="2:13" x14ac:dyDescent="0.25">
      <c r="B109" t="s">
        <v>545</v>
      </c>
      <c r="C109" t="s">
        <v>677</v>
      </c>
      <c r="D109" t="s">
        <v>546</v>
      </c>
      <c r="E109">
        <v>2</v>
      </c>
      <c r="F109">
        <v>1.69921875</v>
      </c>
      <c r="G109">
        <v>1512</v>
      </c>
      <c r="H109">
        <v>1512</v>
      </c>
      <c r="I109">
        <v>1432</v>
      </c>
      <c r="J109" t="s">
        <v>532</v>
      </c>
      <c r="K109">
        <v>1431.5</v>
      </c>
      <c r="L109">
        <v>1.75163093297492</v>
      </c>
      <c r="M109">
        <v>1.6460458940866201</v>
      </c>
    </row>
    <row r="110" spans="2:13" x14ac:dyDescent="0.25">
      <c r="B110" t="s">
        <v>545</v>
      </c>
      <c r="C110" t="s">
        <v>677</v>
      </c>
      <c r="D110" t="s">
        <v>547</v>
      </c>
      <c r="E110">
        <v>2</v>
      </c>
      <c r="F110">
        <v>1.69921875</v>
      </c>
      <c r="G110">
        <v>1351</v>
      </c>
      <c r="H110">
        <v>1351</v>
      </c>
      <c r="I110">
        <v>1432</v>
      </c>
      <c r="J110" t="s">
        <v>532</v>
      </c>
      <c r="K110">
        <v>1431.5</v>
      </c>
      <c r="L110">
        <v>1.5404608551983201</v>
      </c>
      <c r="M110">
        <v>1.6460458940866201</v>
      </c>
    </row>
    <row r="111" spans="2:13" x14ac:dyDescent="0.25">
      <c r="B111" t="s">
        <v>548</v>
      </c>
      <c r="C111" t="s">
        <v>677</v>
      </c>
      <c r="D111" t="s">
        <v>549</v>
      </c>
      <c r="E111">
        <v>2</v>
      </c>
      <c r="F111">
        <v>0.4248046875</v>
      </c>
      <c r="G111">
        <v>584</v>
      </c>
      <c r="H111">
        <v>584</v>
      </c>
      <c r="I111">
        <v>523</v>
      </c>
      <c r="J111" t="s">
        <v>532</v>
      </c>
      <c r="K111">
        <v>523</v>
      </c>
      <c r="L111">
        <v>0.53357374831728599</v>
      </c>
      <c r="M111">
        <v>0.453376098185443</v>
      </c>
    </row>
    <row r="112" spans="2:13" x14ac:dyDescent="0.25">
      <c r="B112" t="s">
        <v>548</v>
      </c>
      <c r="C112" t="s">
        <v>677</v>
      </c>
      <c r="D112" t="s">
        <v>550</v>
      </c>
      <c r="E112">
        <v>2</v>
      </c>
      <c r="F112">
        <v>0.4248046875</v>
      </c>
      <c r="G112">
        <v>462</v>
      </c>
      <c r="H112">
        <v>462</v>
      </c>
      <c r="I112">
        <v>523</v>
      </c>
      <c r="J112" t="s">
        <v>532</v>
      </c>
      <c r="K112">
        <v>523</v>
      </c>
      <c r="L112">
        <v>0.37317844805360001</v>
      </c>
      <c r="M112">
        <v>0.453376098185443</v>
      </c>
    </row>
    <row r="113" spans="2:13" x14ac:dyDescent="0.25">
      <c r="B113" t="s">
        <v>551</v>
      </c>
      <c r="C113" t="s">
        <v>677</v>
      </c>
      <c r="D113" t="s">
        <v>552</v>
      </c>
      <c r="E113">
        <v>2</v>
      </c>
      <c r="F113">
        <v>0</v>
      </c>
      <c r="G113">
        <v>173</v>
      </c>
      <c r="H113">
        <v>173</v>
      </c>
      <c r="I113">
        <v>177</v>
      </c>
      <c r="J113" t="s">
        <v>553</v>
      </c>
      <c r="K113">
        <v>177</v>
      </c>
      <c r="L113" t="s">
        <v>554</v>
      </c>
      <c r="M113" t="s">
        <v>554</v>
      </c>
    </row>
    <row r="114" spans="2:13" x14ac:dyDescent="0.25">
      <c r="B114" t="s">
        <v>551</v>
      </c>
      <c r="C114" t="s">
        <v>677</v>
      </c>
      <c r="D114" t="s">
        <v>555</v>
      </c>
      <c r="E114">
        <v>2</v>
      </c>
      <c r="F114">
        <v>0</v>
      </c>
      <c r="G114">
        <v>181</v>
      </c>
      <c r="H114">
        <v>181</v>
      </c>
      <c r="I114">
        <v>177</v>
      </c>
      <c r="J114" t="s">
        <v>556</v>
      </c>
      <c r="K114">
        <v>177</v>
      </c>
      <c r="L114">
        <v>2.8723602535247398E-3</v>
      </c>
      <c r="M114" t="s">
        <v>554</v>
      </c>
    </row>
    <row r="115" spans="2:13" x14ac:dyDescent="0.25">
      <c r="B115" t="s">
        <v>557</v>
      </c>
      <c r="C115" t="s">
        <v>677</v>
      </c>
      <c r="D115" t="s">
        <v>559</v>
      </c>
      <c r="E115">
        <v>2</v>
      </c>
      <c r="G115">
        <v>192</v>
      </c>
      <c r="H115">
        <v>192</v>
      </c>
      <c r="I115">
        <v>184</v>
      </c>
      <c r="J115" t="s">
        <v>556</v>
      </c>
      <c r="K115">
        <v>183.5</v>
      </c>
      <c r="L115">
        <v>1.7452119507223501E-2</v>
      </c>
      <c r="M115" t="s">
        <v>554</v>
      </c>
    </row>
    <row r="116" spans="2:13" x14ac:dyDescent="0.25">
      <c r="B116" t="s">
        <v>557</v>
      </c>
      <c r="C116" t="s">
        <v>677</v>
      </c>
      <c r="D116" t="s">
        <v>558</v>
      </c>
      <c r="E116">
        <v>2</v>
      </c>
      <c r="G116">
        <v>175</v>
      </c>
      <c r="H116">
        <v>175</v>
      </c>
      <c r="I116">
        <v>184</v>
      </c>
      <c r="J116" t="s">
        <v>553</v>
      </c>
      <c r="K116">
        <v>183.5</v>
      </c>
      <c r="L116" t="s">
        <v>554</v>
      </c>
      <c r="M116" t="s">
        <v>554</v>
      </c>
    </row>
    <row r="117" spans="2:13" x14ac:dyDescent="0.25">
      <c r="B117" t="s">
        <v>560</v>
      </c>
      <c r="C117" t="s">
        <v>677</v>
      </c>
      <c r="D117" t="s">
        <v>561</v>
      </c>
      <c r="E117">
        <v>2</v>
      </c>
      <c r="G117">
        <v>213</v>
      </c>
      <c r="H117">
        <v>213</v>
      </c>
      <c r="I117">
        <v>205</v>
      </c>
      <c r="J117" t="s">
        <v>556</v>
      </c>
      <c r="K117">
        <v>205</v>
      </c>
      <c r="L117">
        <v>4.52159800685355E-2</v>
      </c>
      <c r="M117">
        <v>3.4641932108832298E-2</v>
      </c>
    </row>
    <row r="118" spans="2:13" x14ac:dyDescent="0.25">
      <c r="B118" t="s">
        <v>560</v>
      </c>
      <c r="C118" t="s">
        <v>677</v>
      </c>
      <c r="D118" t="s">
        <v>562</v>
      </c>
      <c r="E118">
        <v>2</v>
      </c>
      <c r="G118">
        <v>197</v>
      </c>
      <c r="H118">
        <v>197</v>
      </c>
      <c r="I118">
        <v>205</v>
      </c>
      <c r="J118" t="s">
        <v>556</v>
      </c>
      <c r="K118">
        <v>205</v>
      </c>
      <c r="L118">
        <v>2.40678841491292E-2</v>
      </c>
      <c r="M118">
        <v>3.4641932108832298E-2</v>
      </c>
    </row>
    <row r="119" spans="2:13" x14ac:dyDescent="0.25">
      <c r="B119" t="s">
        <v>563</v>
      </c>
      <c r="C119" t="s">
        <v>677</v>
      </c>
      <c r="D119" t="s">
        <v>564</v>
      </c>
      <c r="E119">
        <v>2</v>
      </c>
      <c r="G119">
        <v>188</v>
      </c>
      <c r="H119">
        <v>188</v>
      </c>
      <c r="I119">
        <v>187</v>
      </c>
      <c r="J119" t="s">
        <v>556</v>
      </c>
      <c r="K119">
        <v>186.5</v>
      </c>
      <c r="L119">
        <v>1.2155709860998801E-2</v>
      </c>
      <c r="M119">
        <v>1.01679723520473E-2</v>
      </c>
    </row>
    <row r="120" spans="2:13" x14ac:dyDescent="0.25">
      <c r="B120" t="s">
        <v>563</v>
      </c>
      <c r="C120" t="s">
        <v>677</v>
      </c>
      <c r="D120" t="s">
        <v>565</v>
      </c>
      <c r="E120">
        <v>2</v>
      </c>
      <c r="G120">
        <v>185</v>
      </c>
      <c r="H120">
        <v>185</v>
      </c>
      <c r="I120">
        <v>187</v>
      </c>
      <c r="J120" t="s">
        <v>556</v>
      </c>
      <c r="K120">
        <v>186.5</v>
      </c>
      <c r="L120">
        <v>8.1802348430959106E-3</v>
      </c>
      <c r="M120">
        <v>1.01679723520473E-2</v>
      </c>
    </row>
    <row r="121" spans="2:13" x14ac:dyDescent="0.25">
      <c r="B121" t="s">
        <v>566</v>
      </c>
      <c r="C121" t="s">
        <v>677</v>
      </c>
      <c r="D121" t="s">
        <v>567</v>
      </c>
      <c r="E121">
        <v>2</v>
      </c>
      <c r="G121">
        <v>183</v>
      </c>
      <c r="H121">
        <v>183</v>
      </c>
      <c r="I121">
        <v>182</v>
      </c>
      <c r="J121" t="s">
        <v>556</v>
      </c>
      <c r="K121">
        <v>182</v>
      </c>
      <c r="L121">
        <v>5.5277046587116499E-3</v>
      </c>
      <c r="M121">
        <v>4.2000324561181999E-3</v>
      </c>
    </row>
    <row r="122" spans="2:13" x14ac:dyDescent="0.25">
      <c r="B122" t="s">
        <v>566</v>
      </c>
      <c r="C122" t="s">
        <v>677</v>
      </c>
      <c r="D122" t="s">
        <v>568</v>
      </c>
      <c r="E122">
        <v>2</v>
      </c>
      <c r="G122">
        <v>181</v>
      </c>
      <c r="H122">
        <v>181</v>
      </c>
      <c r="I122">
        <v>182</v>
      </c>
      <c r="J122" t="s">
        <v>556</v>
      </c>
      <c r="K122">
        <v>182</v>
      </c>
      <c r="L122">
        <v>2.8723602535247398E-3</v>
      </c>
      <c r="M122">
        <v>4.2000324561181999E-3</v>
      </c>
    </row>
    <row r="123" spans="2:13" x14ac:dyDescent="0.25">
      <c r="B123" t="s">
        <v>569</v>
      </c>
      <c r="C123" t="s">
        <v>677</v>
      </c>
      <c r="D123" t="s">
        <v>570</v>
      </c>
      <c r="E123">
        <v>2</v>
      </c>
      <c r="G123">
        <v>332</v>
      </c>
      <c r="H123">
        <v>332</v>
      </c>
      <c r="I123">
        <v>285</v>
      </c>
      <c r="J123" t="s">
        <v>532</v>
      </c>
      <c r="K123">
        <v>284.5</v>
      </c>
      <c r="L123">
        <v>0.20210597368094199</v>
      </c>
      <c r="M123">
        <v>0.13950298410584</v>
      </c>
    </row>
    <row r="124" spans="2:13" x14ac:dyDescent="0.25">
      <c r="B124" t="s">
        <v>569</v>
      </c>
      <c r="C124" t="s">
        <v>677</v>
      </c>
      <c r="D124" t="s">
        <v>571</v>
      </c>
      <c r="E124">
        <v>2</v>
      </c>
      <c r="G124">
        <v>237</v>
      </c>
      <c r="H124">
        <v>237</v>
      </c>
      <c r="I124">
        <v>285</v>
      </c>
      <c r="J124" t="s">
        <v>532</v>
      </c>
      <c r="K124">
        <v>284.5</v>
      </c>
      <c r="L124">
        <v>7.6899994530737606E-2</v>
      </c>
      <c r="M124">
        <v>0.13950298410584</v>
      </c>
    </row>
    <row r="125" spans="2:13" x14ac:dyDescent="0.25">
      <c r="B125" t="s">
        <v>572</v>
      </c>
      <c r="C125" t="s">
        <v>677</v>
      </c>
      <c r="D125" t="s">
        <v>573</v>
      </c>
      <c r="E125">
        <v>2</v>
      </c>
      <c r="G125">
        <v>162</v>
      </c>
      <c r="H125">
        <v>162</v>
      </c>
      <c r="I125">
        <v>168</v>
      </c>
      <c r="J125" t="s">
        <v>553</v>
      </c>
      <c r="K125">
        <v>167.5</v>
      </c>
      <c r="L125" t="s">
        <v>554</v>
      </c>
      <c r="M125" t="s">
        <v>554</v>
      </c>
    </row>
    <row r="126" spans="2:13" x14ac:dyDescent="0.25">
      <c r="B126" t="s">
        <v>572</v>
      </c>
      <c r="C126" t="s">
        <v>677</v>
      </c>
      <c r="D126" t="s">
        <v>574</v>
      </c>
      <c r="E126">
        <v>2</v>
      </c>
      <c r="G126">
        <v>173</v>
      </c>
      <c r="H126">
        <v>173</v>
      </c>
      <c r="I126">
        <v>168</v>
      </c>
      <c r="J126" t="s">
        <v>553</v>
      </c>
      <c r="K126">
        <v>167.5</v>
      </c>
      <c r="L126" t="s">
        <v>554</v>
      </c>
      <c r="M126" t="s">
        <v>554</v>
      </c>
    </row>
    <row r="127" spans="2:13" x14ac:dyDescent="0.25">
      <c r="B127" t="s">
        <v>575</v>
      </c>
      <c r="C127" t="s">
        <v>677</v>
      </c>
      <c r="D127" t="s">
        <v>576</v>
      </c>
      <c r="E127">
        <v>2</v>
      </c>
      <c r="G127">
        <v>182</v>
      </c>
      <c r="H127">
        <v>182</v>
      </c>
      <c r="I127">
        <v>189</v>
      </c>
      <c r="J127" t="s">
        <v>556</v>
      </c>
      <c r="K127">
        <v>188.5</v>
      </c>
      <c r="L127">
        <v>4.2004847504995496E-3</v>
      </c>
      <c r="M127">
        <v>1.28112971700883E-2</v>
      </c>
    </row>
    <row r="128" spans="2:13" x14ac:dyDescent="0.25">
      <c r="B128" t="s">
        <v>575</v>
      </c>
      <c r="C128" t="s">
        <v>677</v>
      </c>
      <c r="D128" t="s">
        <v>577</v>
      </c>
      <c r="E128">
        <v>2</v>
      </c>
      <c r="G128">
        <v>195</v>
      </c>
      <c r="H128">
        <v>195</v>
      </c>
      <c r="I128">
        <v>189</v>
      </c>
      <c r="J128" t="s">
        <v>556</v>
      </c>
      <c r="K128">
        <v>188.5</v>
      </c>
      <c r="L128">
        <v>2.1422109589677E-2</v>
      </c>
      <c r="M128">
        <v>1.28112971700883E-2</v>
      </c>
    </row>
    <row r="129" spans="2:13" x14ac:dyDescent="0.25">
      <c r="B129" t="s">
        <v>578</v>
      </c>
      <c r="C129" t="s">
        <v>677</v>
      </c>
      <c r="D129" t="s">
        <v>580</v>
      </c>
      <c r="E129">
        <v>2</v>
      </c>
      <c r="G129">
        <v>162</v>
      </c>
      <c r="H129">
        <v>162</v>
      </c>
      <c r="I129">
        <v>170</v>
      </c>
      <c r="J129" t="s">
        <v>553</v>
      </c>
      <c r="K129">
        <v>169.5</v>
      </c>
      <c r="L129" t="s">
        <v>554</v>
      </c>
      <c r="M129" t="s">
        <v>554</v>
      </c>
    </row>
    <row r="130" spans="2:13" x14ac:dyDescent="0.25">
      <c r="B130" t="s">
        <v>578</v>
      </c>
      <c r="C130" t="s">
        <v>677</v>
      </c>
      <c r="D130" t="s">
        <v>579</v>
      </c>
      <c r="E130">
        <v>2</v>
      </c>
      <c r="G130">
        <v>177</v>
      </c>
      <c r="H130">
        <v>177</v>
      </c>
      <c r="I130">
        <v>170</v>
      </c>
      <c r="J130" t="s">
        <v>553</v>
      </c>
      <c r="K130">
        <v>169.5</v>
      </c>
      <c r="L130" t="s">
        <v>554</v>
      </c>
      <c r="M130" t="s">
        <v>554</v>
      </c>
    </row>
    <row r="131" spans="2:13" x14ac:dyDescent="0.25">
      <c r="B131" t="s">
        <v>581</v>
      </c>
      <c r="C131" t="s">
        <v>677</v>
      </c>
      <c r="D131" t="s">
        <v>582</v>
      </c>
      <c r="E131">
        <v>2</v>
      </c>
      <c r="G131">
        <v>163</v>
      </c>
      <c r="H131">
        <v>163</v>
      </c>
      <c r="I131">
        <v>171</v>
      </c>
      <c r="J131" t="s">
        <v>553</v>
      </c>
      <c r="K131">
        <v>171</v>
      </c>
      <c r="L131" t="s">
        <v>554</v>
      </c>
      <c r="M131" t="s">
        <v>554</v>
      </c>
    </row>
    <row r="132" spans="2:13" x14ac:dyDescent="0.25">
      <c r="B132" t="s">
        <v>581</v>
      </c>
      <c r="C132" t="s">
        <v>677</v>
      </c>
      <c r="D132" t="s">
        <v>583</v>
      </c>
      <c r="E132">
        <v>2</v>
      </c>
      <c r="G132">
        <v>179</v>
      </c>
      <c r="H132">
        <v>179</v>
      </c>
      <c r="I132">
        <v>171</v>
      </c>
      <c r="J132" t="s">
        <v>556</v>
      </c>
      <c r="K132">
        <v>171</v>
      </c>
      <c r="L132" s="255">
        <v>2.10504212969641E-4</v>
      </c>
      <c r="M132" t="s">
        <v>554</v>
      </c>
    </row>
    <row r="133" spans="2:13" x14ac:dyDescent="0.25">
      <c r="B133" t="s">
        <v>584</v>
      </c>
      <c r="C133" t="s">
        <v>677</v>
      </c>
      <c r="D133" t="s">
        <v>585</v>
      </c>
      <c r="E133">
        <v>2</v>
      </c>
      <c r="G133">
        <v>191</v>
      </c>
      <c r="H133">
        <v>191</v>
      </c>
      <c r="I133">
        <v>184</v>
      </c>
      <c r="J133" t="s">
        <v>556</v>
      </c>
      <c r="K133">
        <v>184</v>
      </c>
      <c r="L133">
        <v>1.6128384004504101E-2</v>
      </c>
      <c r="M133" t="s">
        <v>554</v>
      </c>
    </row>
    <row r="134" spans="2:13" x14ac:dyDescent="0.25">
      <c r="B134" t="s">
        <v>584</v>
      </c>
      <c r="C134" t="s">
        <v>677</v>
      </c>
      <c r="D134" t="s">
        <v>586</v>
      </c>
      <c r="E134">
        <v>2</v>
      </c>
      <c r="G134">
        <v>177</v>
      </c>
      <c r="H134">
        <v>177</v>
      </c>
      <c r="I134">
        <v>184</v>
      </c>
      <c r="J134" t="s">
        <v>553</v>
      </c>
      <c r="K134">
        <v>184</v>
      </c>
      <c r="L134" t="s">
        <v>554</v>
      </c>
      <c r="M134" t="s">
        <v>554</v>
      </c>
    </row>
    <row r="135" spans="2:13" x14ac:dyDescent="0.25">
      <c r="B135" t="s">
        <v>587</v>
      </c>
      <c r="C135" t="s">
        <v>677</v>
      </c>
      <c r="D135" t="s">
        <v>589</v>
      </c>
      <c r="E135">
        <v>2</v>
      </c>
      <c r="G135">
        <v>187</v>
      </c>
      <c r="H135">
        <v>187</v>
      </c>
      <c r="I135">
        <v>181</v>
      </c>
      <c r="J135" t="s">
        <v>556</v>
      </c>
      <c r="K135">
        <v>180.5</v>
      </c>
      <c r="L135">
        <v>1.0830911635285601E-2</v>
      </c>
      <c r="M135" t="s">
        <v>554</v>
      </c>
    </row>
    <row r="136" spans="2:13" x14ac:dyDescent="0.25">
      <c r="B136" t="s">
        <v>587</v>
      </c>
      <c r="C136" t="s">
        <v>677</v>
      </c>
      <c r="D136" t="s">
        <v>588</v>
      </c>
      <c r="E136">
        <v>2</v>
      </c>
      <c r="G136">
        <v>174</v>
      </c>
      <c r="H136">
        <v>174</v>
      </c>
      <c r="I136">
        <v>181</v>
      </c>
      <c r="J136" t="s">
        <v>553</v>
      </c>
      <c r="K136">
        <v>180.5</v>
      </c>
      <c r="L136" t="s">
        <v>554</v>
      </c>
      <c r="M136" t="s">
        <v>554</v>
      </c>
    </row>
    <row r="137" spans="2:13" x14ac:dyDescent="0.25">
      <c r="B137" t="s">
        <v>590</v>
      </c>
      <c r="C137" t="s">
        <v>677</v>
      </c>
      <c r="D137" t="s">
        <v>591</v>
      </c>
      <c r="E137">
        <v>2</v>
      </c>
      <c r="G137">
        <v>238</v>
      </c>
      <c r="H137">
        <v>238</v>
      </c>
      <c r="I137">
        <v>255</v>
      </c>
      <c r="J137" t="s">
        <v>532</v>
      </c>
      <c r="K137">
        <v>255</v>
      </c>
      <c r="L137">
        <v>7.8219467436781806E-2</v>
      </c>
      <c r="M137">
        <v>0.100638685723487</v>
      </c>
    </row>
    <row r="138" spans="2:13" x14ac:dyDescent="0.25">
      <c r="B138" t="s">
        <v>590</v>
      </c>
      <c r="C138" t="s">
        <v>677</v>
      </c>
      <c r="D138" t="s">
        <v>592</v>
      </c>
      <c r="E138">
        <v>2</v>
      </c>
      <c r="G138">
        <v>272</v>
      </c>
      <c r="H138">
        <v>272</v>
      </c>
      <c r="I138">
        <v>255</v>
      </c>
      <c r="J138" t="s">
        <v>532</v>
      </c>
      <c r="K138">
        <v>255</v>
      </c>
      <c r="L138">
        <v>0.123057904010192</v>
      </c>
      <c r="M138">
        <v>0.100638685723487</v>
      </c>
    </row>
    <row r="139" spans="2:13" x14ac:dyDescent="0.25">
      <c r="B139" t="s">
        <v>593</v>
      </c>
      <c r="C139" t="s">
        <v>677</v>
      </c>
      <c r="D139" t="s">
        <v>594</v>
      </c>
      <c r="E139">
        <v>2</v>
      </c>
      <c r="G139">
        <v>190</v>
      </c>
      <c r="H139">
        <v>190</v>
      </c>
      <c r="I139">
        <v>195</v>
      </c>
      <c r="J139" t="s">
        <v>556</v>
      </c>
      <c r="K139">
        <v>194.5</v>
      </c>
      <c r="L139">
        <v>1.48044184269999E-2</v>
      </c>
      <c r="M139">
        <v>2.0758730824711899E-2</v>
      </c>
    </row>
    <row r="140" spans="2:13" x14ac:dyDescent="0.25">
      <c r="B140" t="s">
        <v>593</v>
      </c>
      <c r="C140" t="s">
        <v>677</v>
      </c>
      <c r="D140" t="s">
        <v>595</v>
      </c>
      <c r="E140">
        <v>2</v>
      </c>
      <c r="G140">
        <v>199</v>
      </c>
      <c r="H140">
        <v>199</v>
      </c>
      <c r="I140">
        <v>195</v>
      </c>
      <c r="J140" t="s">
        <v>556</v>
      </c>
      <c r="K140">
        <v>194.5</v>
      </c>
      <c r="L140">
        <v>2.6713043222424002E-2</v>
      </c>
      <c r="M140">
        <v>2.0758730824711899E-2</v>
      </c>
    </row>
    <row r="141" spans="2:13" x14ac:dyDescent="0.25">
      <c r="B141" t="s">
        <v>596</v>
      </c>
      <c r="C141" t="s">
        <v>677</v>
      </c>
      <c r="D141" t="s">
        <v>597</v>
      </c>
      <c r="E141">
        <v>2</v>
      </c>
      <c r="G141">
        <v>178</v>
      </c>
      <c r="H141">
        <v>178</v>
      </c>
      <c r="I141">
        <v>193</v>
      </c>
      <c r="J141" t="s">
        <v>553</v>
      </c>
      <c r="K141">
        <v>193</v>
      </c>
      <c r="L141" t="s">
        <v>554</v>
      </c>
      <c r="M141" t="s">
        <v>554</v>
      </c>
    </row>
    <row r="142" spans="2:13" x14ac:dyDescent="0.25">
      <c r="B142" t="s">
        <v>596</v>
      </c>
      <c r="C142" t="s">
        <v>677</v>
      </c>
      <c r="D142" t="s">
        <v>598</v>
      </c>
      <c r="E142">
        <v>2</v>
      </c>
      <c r="G142">
        <v>208</v>
      </c>
      <c r="H142">
        <v>208</v>
      </c>
      <c r="I142">
        <v>193</v>
      </c>
      <c r="J142" t="s">
        <v>556</v>
      </c>
      <c r="K142">
        <v>193</v>
      </c>
      <c r="L142">
        <v>3.8610062618136098E-2</v>
      </c>
      <c r="M142" t="s">
        <v>554</v>
      </c>
    </row>
    <row r="143" spans="2:13" x14ac:dyDescent="0.25">
      <c r="B143" t="s">
        <v>599</v>
      </c>
      <c r="C143" t="s">
        <v>677</v>
      </c>
      <c r="D143" t="s">
        <v>600</v>
      </c>
      <c r="E143">
        <v>2</v>
      </c>
      <c r="G143">
        <v>233</v>
      </c>
      <c r="H143">
        <v>233</v>
      </c>
      <c r="I143">
        <v>248</v>
      </c>
      <c r="J143" t="s">
        <v>532</v>
      </c>
      <c r="K143">
        <v>248</v>
      </c>
      <c r="L143">
        <v>7.1621619881080401E-2</v>
      </c>
      <c r="M143">
        <v>9.1407240167145395E-2</v>
      </c>
    </row>
    <row r="144" spans="2:13" x14ac:dyDescent="0.25">
      <c r="B144" t="s">
        <v>599</v>
      </c>
      <c r="C144" t="s">
        <v>677</v>
      </c>
      <c r="D144" t="s">
        <v>601</v>
      </c>
      <c r="E144">
        <v>2</v>
      </c>
      <c r="G144">
        <v>263</v>
      </c>
      <c r="H144">
        <v>263</v>
      </c>
      <c r="I144">
        <v>248</v>
      </c>
      <c r="J144" t="s">
        <v>532</v>
      </c>
      <c r="K144">
        <v>248</v>
      </c>
      <c r="L144">
        <v>0.11119286045321</v>
      </c>
      <c r="M144">
        <v>9.1407240167145395E-2</v>
      </c>
    </row>
    <row r="145" spans="2:13" x14ac:dyDescent="0.25">
      <c r="B145" t="s">
        <v>602</v>
      </c>
      <c r="C145" t="s">
        <v>677</v>
      </c>
      <c r="D145" t="s">
        <v>603</v>
      </c>
      <c r="E145">
        <v>2</v>
      </c>
      <c r="G145">
        <v>163</v>
      </c>
      <c r="H145">
        <v>163</v>
      </c>
      <c r="I145">
        <v>162</v>
      </c>
      <c r="J145" t="s">
        <v>553</v>
      </c>
      <c r="K145">
        <v>162</v>
      </c>
      <c r="L145" t="s">
        <v>554</v>
      </c>
      <c r="M145" t="s">
        <v>554</v>
      </c>
    </row>
    <row r="146" spans="2:13" x14ac:dyDescent="0.25">
      <c r="B146" t="s">
        <v>602</v>
      </c>
      <c r="C146" t="s">
        <v>677</v>
      </c>
      <c r="D146" t="s">
        <v>604</v>
      </c>
      <c r="E146">
        <v>2</v>
      </c>
      <c r="G146">
        <v>161</v>
      </c>
      <c r="H146">
        <v>161</v>
      </c>
      <c r="I146">
        <v>162</v>
      </c>
      <c r="J146" t="s">
        <v>553</v>
      </c>
      <c r="K146">
        <v>162</v>
      </c>
      <c r="L146" t="s">
        <v>554</v>
      </c>
      <c r="M146" t="s">
        <v>554</v>
      </c>
    </row>
    <row r="147" spans="2:13" x14ac:dyDescent="0.25">
      <c r="B147" t="s">
        <v>605</v>
      </c>
      <c r="C147" t="s">
        <v>677</v>
      </c>
      <c r="D147" t="s">
        <v>606</v>
      </c>
      <c r="E147">
        <v>2</v>
      </c>
      <c r="G147">
        <v>159</v>
      </c>
      <c r="H147">
        <v>159</v>
      </c>
      <c r="I147">
        <v>167</v>
      </c>
      <c r="J147" t="s">
        <v>553</v>
      </c>
      <c r="K147">
        <v>167</v>
      </c>
      <c r="L147" t="s">
        <v>554</v>
      </c>
      <c r="M147" t="s">
        <v>554</v>
      </c>
    </row>
    <row r="148" spans="2:13" x14ac:dyDescent="0.25">
      <c r="B148" t="s">
        <v>605</v>
      </c>
      <c r="C148" t="s">
        <v>677</v>
      </c>
      <c r="D148" t="s">
        <v>607</v>
      </c>
      <c r="E148">
        <v>2</v>
      </c>
      <c r="G148">
        <v>175</v>
      </c>
      <c r="H148">
        <v>175</v>
      </c>
      <c r="I148">
        <v>167</v>
      </c>
      <c r="J148" t="s">
        <v>553</v>
      </c>
      <c r="K148">
        <v>167</v>
      </c>
      <c r="L148" t="s">
        <v>554</v>
      </c>
      <c r="M148" t="s">
        <v>554</v>
      </c>
    </row>
    <row r="149" spans="2:13" x14ac:dyDescent="0.25">
      <c r="B149" t="s">
        <v>608</v>
      </c>
      <c r="C149" t="s">
        <v>677</v>
      </c>
      <c r="D149" t="s">
        <v>609</v>
      </c>
      <c r="E149">
        <v>2</v>
      </c>
      <c r="G149">
        <v>150</v>
      </c>
      <c r="H149">
        <v>150</v>
      </c>
      <c r="I149">
        <v>165</v>
      </c>
      <c r="J149" t="s">
        <v>553</v>
      </c>
      <c r="K149">
        <v>165</v>
      </c>
      <c r="L149" t="s">
        <v>554</v>
      </c>
      <c r="M149" t="s">
        <v>554</v>
      </c>
    </row>
    <row r="150" spans="2:13" x14ac:dyDescent="0.25">
      <c r="B150" t="s">
        <v>608</v>
      </c>
      <c r="C150" t="s">
        <v>677</v>
      </c>
      <c r="D150" t="s">
        <v>610</v>
      </c>
      <c r="E150">
        <v>2</v>
      </c>
      <c r="G150">
        <v>180</v>
      </c>
      <c r="H150">
        <v>180</v>
      </c>
      <c r="I150">
        <v>165</v>
      </c>
      <c r="J150" t="s">
        <v>556</v>
      </c>
      <c r="K150">
        <v>165</v>
      </c>
      <c r="L150">
        <v>1.5428819152680201E-3</v>
      </c>
      <c r="M150" t="s">
        <v>554</v>
      </c>
    </row>
    <row r="151" spans="2:13" x14ac:dyDescent="0.25">
      <c r="B151" t="s">
        <v>611</v>
      </c>
      <c r="C151" t="s">
        <v>677</v>
      </c>
      <c r="D151" t="s">
        <v>612</v>
      </c>
      <c r="E151">
        <v>2</v>
      </c>
      <c r="G151">
        <v>176</v>
      </c>
      <c r="H151">
        <v>176</v>
      </c>
      <c r="I151">
        <v>180</v>
      </c>
      <c r="J151" t="s">
        <v>553</v>
      </c>
      <c r="K151">
        <v>179.5</v>
      </c>
      <c r="L151" t="s">
        <v>554</v>
      </c>
      <c r="M151" t="s">
        <v>554</v>
      </c>
    </row>
    <row r="152" spans="2:13" x14ac:dyDescent="0.25">
      <c r="B152" t="s">
        <v>611</v>
      </c>
      <c r="C152" t="s">
        <v>677</v>
      </c>
      <c r="D152" t="s">
        <v>613</v>
      </c>
      <c r="E152">
        <v>2</v>
      </c>
      <c r="G152">
        <v>183</v>
      </c>
      <c r="H152">
        <v>183</v>
      </c>
      <c r="I152">
        <v>180</v>
      </c>
      <c r="J152" t="s">
        <v>556</v>
      </c>
      <c r="K152">
        <v>179.5</v>
      </c>
      <c r="L152">
        <v>5.5277046587116499E-3</v>
      </c>
      <c r="M152" t="s">
        <v>554</v>
      </c>
    </row>
    <row r="153" spans="2:13" x14ac:dyDescent="0.25">
      <c r="B153" t="s">
        <v>614</v>
      </c>
      <c r="C153" t="s">
        <v>677</v>
      </c>
      <c r="D153" t="s">
        <v>615</v>
      </c>
      <c r="E153">
        <v>2</v>
      </c>
      <c r="G153">
        <v>165</v>
      </c>
      <c r="H153">
        <v>165</v>
      </c>
      <c r="I153">
        <v>157</v>
      </c>
      <c r="J153" t="s">
        <v>553</v>
      </c>
      <c r="K153">
        <v>156.5</v>
      </c>
      <c r="L153" t="s">
        <v>554</v>
      </c>
      <c r="M153" t="s">
        <v>554</v>
      </c>
    </row>
    <row r="154" spans="2:13" x14ac:dyDescent="0.25">
      <c r="B154" t="s">
        <v>614</v>
      </c>
      <c r="C154" t="s">
        <v>677</v>
      </c>
      <c r="D154" t="s">
        <v>616</v>
      </c>
      <c r="E154">
        <v>2</v>
      </c>
      <c r="G154">
        <v>148</v>
      </c>
      <c r="H154">
        <v>148</v>
      </c>
      <c r="I154">
        <v>157</v>
      </c>
      <c r="J154" t="s">
        <v>553</v>
      </c>
      <c r="K154">
        <v>156.5</v>
      </c>
      <c r="L154" t="s">
        <v>554</v>
      </c>
      <c r="M154" t="s">
        <v>554</v>
      </c>
    </row>
    <row r="155" spans="2:13" x14ac:dyDescent="0.25">
      <c r="B155" t="s">
        <v>617</v>
      </c>
      <c r="C155" t="s">
        <v>677</v>
      </c>
      <c r="D155" t="s">
        <v>619</v>
      </c>
      <c r="E155">
        <v>2</v>
      </c>
      <c r="G155">
        <v>240</v>
      </c>
      <c r="H155">
        <v>240</v>
      </c>
      <c r="I155">
        <v>216</v>
      </c>
      <c r="J155" t="s">
        <v>532</v>
      </c>
      <c r="K155">
        <v>216</v>
      </c>
      <c r="L155">
        <v>8.0858274136185099E-2</v>
      </c>
      <c r="M155">
        <v>4.91551968217043E-2</v>
      </c>
    </row>
    <row r="156" spans="2:13" x14ac:dyDescent="0.25">
      <c r="B156" t="s">
        <v>617</v>
      </c>
      <c r="C156" t="s">
        <v>677</v>
      </c>
      <c r="D156" t="s">
        <v>618</v>
      </c>
      <c r="E156">
        <v>2</v>
      </c>
      <c r="G156">
        <v>192</v>
      </c>
      <c r="H156">
        <v>192</v>
      </c>
      <c r="I156">
        <v>216</v>
      </c>
      <c r="J156" t="s">
        <v>556</v>
      </c>
      <c r="K156">
        <v>216</v>
      </c>
      <c r="L156">
        <v>1.7452119507223501E-2</v>
      </c>
      <c r="M156">
        <v>4.91551968217043E-2</v>
      </c>
    </row>
    <row r="157" spans="2:13" x14ac:dyDescent="0.25">
      <c r="B157" t="s">
        <v>620</v>
      </c>
      <c r="C157" t="s">
        <v>677</v>
      </c>
      <c r="D157" t="s">
        <v>621</v>
      </c>
      <c r="E157">
        <v>2</v>
      </c>
      <c r="G157">
        <v>180</v>
      </c>
      <c r="H157">
        <v>180</v>
      </c>
      <c r="I157">
        <v>186</v>
      </c>
      <c r="J157" t="s">
        <v>556</v>
      </c>
      <c r="K157">
        <v>185.5</v>
      </c>
      <c r="L157">
        <v>1.5428819152680201E-3</v>
      </c>
      <c r="M157">
        <v>8.8356329598860799E-3</v>
      </c>
    </row>
    <row r="158" spans="2:13" x14ac:dyDescent="0.25">
      <c r="B158" t="s">
        <v>620</v>
      </c>
      <c r="C158" t="s">
        <v>677</v>
      </c>
      <c r="D158" t="s">
        <v>622</v>
      </c>
      <c r="E158">
        <v>2</v>
      </c>
      <c r="G158">
        <v>191</v>
      </c>
      <c r="H158">
        <v>191</v>
      </c>
      <c r="I158">
        <v>186</v>
      </c>
      <c r="J158" t="s">
        <v>556</v>
      </c>
      <c r="K158">
        <v>185.5</v>
      </c>
      <c r="L158">
        <v>1.6128384004504101E-2</v>
      </c>
      <c r="M158">
        <v>8.8356329598860799E-3</v>
      </c>
    </row>
    <row r="159" spans="2:13" x14ac:dyDescent="0.25">
      <c r="B159" t="s">
        <v>623</v>
      </c>
      <c r="C159" t="s">
        <v>677</v>
      </c>
      <c r="D159" t="s">
        <v>624</v>
      </c>
      <c r="E159">
        <v>2</v>
      </c>
      <c r="G159">
        <v>244</v>
      </c>
      <c r="H159">
        <v>244</v>
      </c>
      <c r="I159">
        <v>225</v>
      </c>
      <c r="J159" t="s">
        <v>532</v>
      </c>
      <c r="K159">
        <v>225</v>
      </c>
      <c r="L159">
        <v>8.6135352223434603E-2</v>
      </c>
      <c r="M159">
        <v>6.1051200692405397E-2</v>
      </c>
    </row>
    <row r="160" spans="2:13" x14ac:dyDescent="0.25">
      <c r="B160" t="s">
        <v>623</v>
      </c>
      <c r="C160" t="s">
        <v>677</v>
      </c>
      <c r="D160" t="s">
        <v>625</v>
      </c>
      <c r="E160">
        <v>2</v>
      </c>
      <c r="G160">
        <v>206</v>
      </c>
      <c r="H160">
        <v>206</v>
      </c>
      <c r="I160">
        <v>225</v>
      </c>
      <c r="J160" t="s">
        <v>556</v>
      </c>
      <c r="K160">
        <v>225</v>
      </c>
      <c r="L160">
        <v>3.5967049161376101E-2</v>
      </c>
      <c r="M160">
        <v>6.1051200692405397E-2</v>
      </c>
    </row>
    <row r="161" spans="2:13" x14ac:dyDescent="0.25">
      <c r="B161" t="s">
        <v>626</v>
      </c>
      <c r="C161" t="s">
        <v>677</v>
      </c>
      <c r="D161" t="s">
        <v>627</v>
      </c>
      <c r="E161">
        <v>2</v>
      </c>
      <c r="G161">
        <v>176</v>
      </c>
      <c r="H161">
        <v>176</v>
      </c>
      <c r="I161">
        <v>212</v>
      </c>
      <c r="J161" t="s">
        <v>553</v>
      </c>
      <c r="K161">
        <v>211.5</v>
      </c>
      <c r="L161" t="s">
        <v>554</v>
      </c>
      <c r="M161" t="s">
        <v>554</v>
      </c>
    </row>
    <row r="162" spans="2:13" x14ac:dyDescent="0.25">
      <c r="B162" t="s">
        <v>626</v>
      </c>
      <c r="C162" t="s">
        <v>677</v>
      </c>
      <c r="D162" t="s">
        <v>628</v>
      </c>
      <c r="E162">
        <v>2</v>
      </c>
      <c r="G162">
        <v>247</v>
      </c>
      <c r="H162">
        <v>247</v>
      </c>
      <c r="I162">
        <v>212</v>
      </c>
      <c r="J162" t="s">
        <v>532</v>
      </c>
      <c r="K162">
        <v>211.5</v>
      </c>
      <c r="L162">
        <v>9.0092714340318999E-2</v>
      </c>
      <c r="M162" t="s">
        <v>554</v>
      </c>
    </row>
    <row r="163" spans="2:13" x14ac:dyDescent="0.25">
      <c r="B163" t="s">
        <v>629</v>
      </c>
      <c r="C163" t="s">
        <v>677</v>
      </c>
      <c r="D163" t="s">
        <v>630</v>
      </c>
      <c r="E163">
        <v>2</v>
      </c>
      <c r="G163">
        <v>201</v>
      </c>
      <c r="H163">
        <v>201</v>
      </c>
      <c r="I163">
        <v>230</v>
      </c>
      <c r="J163" t="s">
        <v>556</v>
      </c>
      <c r="K163">
        <v>230</v>
      </c>
      <c r="L163">
        <v>2.9357648433818901E-2</v>
      </c>
      <c r="M163">
        <v>6.7638162397058194E-2</v>
      </c>
    </row>
    <row r="164" spans="2:13" x14ac:dyDescent="0.25">
      <c r="B164" t="s">
        <v>629</v>
      </c>
      <c r="C164" t="s">
        <v>677</v>
      </c>
      <c r="D164" t="s">
        <v>631</v>
      </c>
      <c r="E164">
        <v>2</v>
      </c>
      <c r="G164">
        <v>259</v>
      </c>
      <c r="H164">
        <v>259</v>
      </c>
      <c r="I164">
        <v>230</v>
      </c>
      <c r="J164" t="s">
        <v>532</v>
      </c>
      <c r="K164">
        <v>230</v>
      </c>
      <c r="L164">
        <v>0.105918676360297</v>
      </c>
      <c r="M164">
        <v>6.7638162397058194E-2</v>
      </c>
    </row>
    <row r="165" spans="2:13" x14ac:dyDescent="0.25">
      <c r="B165" t="s">
        <v>632</v>
      </c>
      <c r="C165" t="s">
        <v>677</v>
      </c>
      <c r="D165" t="s">
        <v>633</v>
      </c>
      <c r="E165">
        <v>2</v>
      </c>
      <c r="G165">
        <v>159</v>
      </c>
      <c r="H165">
        <v>159</v>
      </c>
      <c r="I165">
        <v>172</v>
      </c>
      <c r="J165" t="s">
        <v>553</v>
      </c>
      <c r="K165">
        <v>171.5</v>
      </c>
      <c r="L165" t="s">
        <v>554</v>
      </c>
      <c r="M165" t="s">
        <v>554</v>
      </c>
    </row>
    <row r="166" spans="2:13" x14ac:dyDescent="0.25">
      <c r="B166" t="s">
        <v>632</v>
      </c>
      <c r="C166" t="s">
        <v>677</v>
      </c>
      <c r="D166" t="s">
        <v>634</v>
      </c>
      <c r="E166">
        <v>2</v>
      </c>
      <c r="G166">
        <v>184</v>
      </c>
      <c r="H166">
        <v>184</v>
      </c>
      <c r="I166">
        <v>172</v>
      </c>
      <c r="J166" t="s">
        <v>556</v>
      </c>
      <c r="K166">
        <v>171.5</v>
      </c>
      <c r="L166">
        <v>6.8542432270828797E-3</v>
      </c>
      <c r="M166" t="s">
        <v>554</v>
      </c>
    </row>
    <row r="167" spans="2:13" x14ac:dyDescent="0.25">
      <c r="B167" t="s">
        <v>635</v>
      </c>
      <c r="C167" t="s">
        <v>677</v>
      </c>
      <c r="D167" t="s">
        <v>636</v>
      </c>
      <c r="E167">
        <v>2</v>
      </c>
      <c r="G167">
        <v>168</v>
      </c>
      <c r="H167">
        <v>168</v>
      </c>
      <c r="I167">
        <v>169</v>
      </c>
      <c r="J167" t="s">
        <v>553</v>
      </c>
      <c r="K167">
        <v>169</v>
      </c>
      <c r="L167" t="s">
        <v>554</v>
      </c>
      <c r="M167" t="s">
        <v>554</v>
      </c>
    </row>
    <row r="168" spans="2:13" x14ac:dyDescent="0.25">
      <c r="B168" t="s">
        <v>635</v>
      </c>
      <c r="C168" t="s">
        <v>677</v>
      </c>
      <c r="D168" t="s">
        <v>637</v>
      </c>
      <c r="E168">
        <v>2</v>
      </c>
      <c r="G168">
        <v>170</v>
      </c>
      <c r="H168">
        <v>170</v>
      </c>
      <c r="I168">
        <v>169</v>
      </c>
      <c r="J168" t="s">
        <v>553</v>
      </c>
      <c r="K168">
        <v>169</v>
      </c>
      <c r="L168" t="s">
        <v>554</v>
      </c>
      <c r="M168" t="s">
        <v>554</v>
      </c>
    </row>
    <row r="169" spans="2:13" x14ac:dyDescent="0.25">
      <c r="B169" t="s">
        <v>638</v>
      </c>
      <c r="C169" t="s">
        <v>677</v>
      </c>
      <c r="D169" t="s">
        <v>640</v>
      </c>
      <c r="E169">
        <v>2</v>
      </c>
      <c r="G169">
        <v>169</v>
      </c>
      <c r="H169">
        <v>169</v>
      </c>
      <c r="I169">
        <v>171</v>
      </c>
      <c r="J169" t="s">
        <v>553</v>
      </c>
      <c r="K169">
        <v>170.5</v>
      </c>
      <c r="L169" t="s">
        <v>554</v>
      </c>
      <c r="M169" t="s">
        <v>554</v>
      </c>
    </row>
    <row r="170" spans="2:13" x14ac:dyDescent="0.25">
      <c r="B170" t="s">
        <v>638</v>
      </c>
      <c r="C170" t="s">
        <v>677</v>
      </c>
      <c r="D170" t="s">
        <v>639</v>
      </c>
      <c r="E170">
        <v>2</v>
      </c>
      <c r="G170">
        <v>172</v>
      </c>
      <c r="H170">
        <v>172</v>
      </c>
      <c r="I170">
        <v>171</v>
      </c>
      <c r="J170" t="s">
        <v>553</v>
      </c>
      <c r="K170">
        <v>170.5</v>
      </c>
      <c r="L170" t="s">
        <v>554</v>
      </c>
      <c r="M170" t="s">
        <v>554</v>
      </c>
    </row>
    <row r="171" spans="2:13" x14ac:dyDescent="0.25">
      <c r="B171" t="s">
        <v>641</v>
      </c>
      <c r="C171" t="s">
        <v>677</v>
      </c>
      <c r="D171" t="s">
        <v>642</v>
      </c>
      <c r="E171">
        <v>2</v>
      </c>
      <c r="G171">
        <v>170</v>
      </c>
      <c r="H171">
        <v>170</v>
      </c>
      <c r="I171">
        <v>180</v>
      </c>
      <c r="J171" t="s">
        <v>553</v>
      </c>
      <c r="K171">
        <v>179.5</v>
      </c>
      <c r="L171" t="s">
        <v>554</v>
      </c>
      <c r="M171" t="s">
        <v>554</v>
      </c>
    </row>
    <row r="172" spans="2:13" x14ac:dyDescent="0.25">
      <c r="B172" t="s">
        <v>641</v>
      </c>
      <c r="C172" t="s">
        <v>677</v>
      </c>
      <c r="D172" t="s">
        <v>643</v>
      </c>
      <c r="E172">
        <v>2</v>
      </c>
      <c r="G172">
        <v>189</v>
      </c>
      <c r="H172">
        <v>189</v>
      </c>
      <c r="I172">
        <v>180</v>
      </c>
      <c r="J172" t="s">
        <v>556</v>
      </c>
      <c r="K172">
        <v>179.5</v>
      </c>
      <c r="L172">
        <v>1.3480202007630599E-2</v>
      </c>
      <c r="M172" t="s">
        <v>554</v>
      </c>
    </row>
    <row r="173" spans="2:13" x14ac:dyDescent="0.25">
      <c r="B173" t="s">
        <v>644</v>
      </c>
      <c r="C173" t="s">
        <v>677</v>
      </c>
      <c r="D173" t="s">
        <v>645</v>
      </c>
      <c r="E173">
        <v>2</v>
      </c>
      <c r="G173">
        <v>195</v>
      </c>
      <c r="H173">
        <v>195</v>
      </c>
      <c r="I173">
        <v>196</v>
      </c>
      <c r="J173" t="s">
        <v>556</v>
      </c>
      <c r="K173">
        <v>195.5</v>
      </c>
      <c r="L173">
        <v>2.1422109589677E-2</v>
      </c>
      <c r="M173">
        <v>2.2083593892891201E-2</v>
      </c>
    </row>
    <row r="174" spans="2:13" x14ac:dyDescent="0.25">
      <c r="B174" t="s">
        <v>644</v>
      </c>
      <c r="C174" t="s">
        <v>677</v>
      </c>
      <c r="D174" t="s">
        <v>646</v>
      </c>
      <c r="E174">
        <v>2</v>
      </c>
      <c r="G174">
        <v>196</v>
      </c>
      <c r="H174">
        <v>196</v>
      </c>
      <c r="I174">
        <v>196</v>
      </c>
      <c r="J174" t="s">
        <v>556</v>
      </c>
      <c r="K174">
        <v>195.5</v>
      </c>
      <c r="L174">
        <v>2.2745078196105401E-2</v>
      </c>
      <c r="M174">
        <v>2.2083593892891201E-2</v>
      </c>
    </row>
    <row r="175" spans="2:13" x14ac:dyDescent="0.25">
      <c r="B175" t="s">
        <v>647</v>
      </c>
      <c r="C175" t="s">
        <v>677</v>
      </c>
      <c r="D175" t="s">
        <v>649</v>
      </c>
      <c r="E175">
        <v>2</v>
      </c>
      <c r="G175">
        <v>167</v>
      </c>
      <c r="H175">
        <v>167</v>
      </c>
      <c r="I175">
        <v>173</v>
      </c>
      <c r="J175" t="s">
        <v>553</v>
      </c>
      <c r="K175">
        <v>173</v>
      </c>
      <c r="L175" t="s">
        <v>554</v>
      </c>
      <c r="M175" t="s">
        <v>554</v>
      </c>
    </row>
    <row r="176" spans="2:13" x14ac:dyDescent="0.25">
      <c r="B176" t="s">
        <v>647</v>
      </c>
      <c r="C176" t="s">
        <v>677</v>
      </c>
      <c r="D176" t="s">
        <v>648</v>
      </c>
      <c r="E176">
        <v>2</v>
      </c>
      <c r="G176">
        <v>179</v>
      </c>
      <c r="H176">
        <v>179</v>
      </c>
      <c r="I176">
        <v>173</v>
      </c>
      <c r="J176" t="s">
        <v>556</v>
      </c>
      <c r="K176">
        <v>173</v>
      </c>
      <c r="L176" s="255">
        <v>2.10504212969641E-4</v>
      </c>
      <c r="M176" t="s">
        <v>554</v>
      </c>
    </row>
    <row r="177" spans="2:13" x14ac:dyDescent="0.25">
      <c r="B177" t="s">
        <v>650</v>
      </c>
      <c r="C177" t="s">
        <v>677</v>
      </c>
      <c r="D177" t="s">
        <v>651</v>
      </c>
      <c r="E177">
        <v>2</v>
      </c>
      <c r="G177">
        <v>183</v>
      </c>
      <c r="H177">
        <v>183</v>
      </c>
      <c r="I177">
        <v>181</v>
      </c>
      <c r="J177" t="s">
        <v>556</v>
      </c>
      <c r="K177">
        <v>181</v>
      </c>
      <c r="L177">
        <v>5.5277046587116499E-3</v>
      </c>
      <c r="M177">
        <v>2.86910443584065E-3</v>
      </c>
    </row>
    <row r="178" spans="2:13" x14ac:dyDescent="0.25">
      <c r="B178" t="s">
        <v>650</v>
      </c>
      <c r="C178" t="s">
        <v>677</v>
      </c>
      <c r="D178" t="s">
        <v>652</v>
      </c>
      <c r="E178">
        <v>2</v>
      </c>
      <c r="G178">
        <v>179</v>
      </c>
      <c r="H178">
        <v>179</v>
      </c>
      <c r="I178">
        <v>181</v>
      </c>
      <c r="J178" t="s">
        <v>556</v>
      </c>
      <c r="K178">
        <v>181</v>
      </c>
      <c r="L178" s="255">
        <v>2.10504212969641E-4</v>
      </c>
      <c r="M178">
        <v>2.86910443584065E-3</v>
      </c>
    </row>
    <row r="179" spans="2:13" x14ac:dyDescent="0.25">
      <c r="B179" t="s">
        <v>653</v>
      </c>
      <c r="C179" t="s">
        <v>677</v>
      </c>
      <c r="D179" t="s">
        <v>654</v>
      </c>
      <c r="E179">
        <v>2</v>
      </c>
      <c r="G179">
        <v>192</v>
      </c>
      <c r="H179">
        <v>192</v>
      </c>
      <c r="I179">
        <v>197</v>
      </c>
      <c r="J179" t="s">
        <v>556</v>
      </c>
      <c r="K179">
        <v>196.5</v>
      </c>
      <c r="L179">
        <v>1.7452119507223501E-2</v>
      </c>
      <c r="M179">
        <v>2.3404883970521199E-2</v>
      </c>
    </row>
    <row r="180" spans="2:13" x14ac:dyDescent="0.25">
      <c r="B180" t="s">
        <v>653</v>
      </c>
      <c r="C180" t="s">
        <v>677</v>
      </c>
      <c r="D180" t="s">
        <v>655</v>
      </c>
      <c r="E180">
        <v>2</v>
      </c>
      <c r="G180">
        <v>201</v>
      </c>
      <c r="H180">
        <v>201</v>
      </c>
      <c r="I180">
        <v>197</v>
      </c>
      <c r="J180" t="s">
        <v>556</v>
      </c>
      <c r="K180">
        <v>196.5</v>
      </c>
      <c r="L180">
        <v>2.9357648433818901E-2</v>
      </c>
      <c r="M180">
        <v>2.3404883970521199E-2</v>
      </c>
    </row>
    <row r="181" spans="2:13" x14ac:dyDescent="0.25">
      <c r="B181" t="s">
        <v>656</v>
      </c>
      <c r="C181" t="s">
        <v>677</v>
      </c>
      <c r="D181" t="s">
        <v>657</v>
      </c>
      <c r="E181">
        <v>2</v>
      </c>
      <c r="G181">
        <v>196</v>
      </c>
      <c r="H181">
        <v>196</v>
      </c>
      <c r="I181">
        <v>235</v>
      </c>
      <c r="J181" t="s">
        <v>556</v>
      </c>
      <c r="K181">
        <v>235</v>
      </c>
      <c r="L181">
        <v>2.2745078196105401E-2</v>
      </c>
      <c r="M181">
        <v>7.4219663321503399E-2</v>
      </c>
    </row>
    <row r="182" spans="2:13" x14ac:dyDescent="0.25">
      <c r="B182" t="s">
        <v>656</v>
      </c>
      <c r="C182" t="s">
        <v>677</v>
      </c>
      <c r="D182" t="s">
        <v>658</v>
      </c>
      <c r="E182">
        <v>2</v>
      </c>
      <c r="G182">
        <v>274</v>
      </c>
      <c r="H182">
        <v>274</v>
      </c>
      <c r="I182">
        <v>235</v>
      </c>
      <c r="J182" t="s">
        <v>532</v>
      </c>
      <c r="K182">
        <v>235</v>
      </c>
      <c r="L182">
        <v>0.125694248446901</v>
      </c>
      <c r="M182">
        <v>7.4219663321503399E-2</v>
      </c>
    </row>
    <row r="183" spans="2:13" x14ac:dyDescent="0.25">
      <c r="B183" t="s">
        <v>659</v>
      </c>
      <c r="C183" t="s">
        <v>677</v>
      </c>
      <c r="D183" t="s">
        <v>660</v>
      </c>
      <c r="E183">
        <v>2</v>
      </c>
      <c r="G183">
        <v>191</v>
      </c>
      <c r="H183">
        <v>191</v>
      </c>
      <c r="I183">
        <v>213</v>
      </c>
      <c r="J183" t="s">
        <v>556</v>
      </c>
      <c r="K183">
        <v>212.5</v>
      </c>
      <c r="L183">
        <v>1.6128384004504101E-2</v>
      </c>
      <c r="M183">
        <v>4.4534835872768699E-2</v>
      </c>
    </row>
    <row r="184" spans="2:13" x14ac:dyDescent="0.25">
      <c r="B184" t="s">
        <v>659</v>
      </c>
      <c r="C184" t="s">
        <v>677</v>
      </c>
      <c r="D184" t="s">
        <v>661</v>
      </c>
      <c r="E184">
        <v>2</v>
      </c>
      <c r="G184">
        <v>234</v>
      </c>
      <c r="H184">
        <v>234</v>
      </c>
      <c r="I184">
        <v>213</v>
      </c>
      <c r="J184" t="s">
        <v>532</v>
      </c>
      <c r="K184">
        <v>212.5</v>
      </c>
      <c r="L184">
        <v>7.2941287741033201E-2</v>
      </c>
      <c r="M184">
        <v>4.4534835872768699E-2</v>
      </c>
    </row>
    <row r="185" spans="2:13" x14ac:dyDescent="0.25">
      <c r="B185" t="s">
        <v>662</v>
      </c>
      <c r="C185" t="s">
        <v>677</v>
      </c>
      <c r="D185" t="s">
        <v>663</v>
      </c>
      <c r="E185">
        <v>2</v>
      </c>
      <c r="G185">
        <v>162</v>
      </c>
      <c r="H185">
        <v>162</v>
      </c>
      <c r="I185">
        <v>178</v>
      </c>
      <c r="J185" t="s">
        <v>553</v>
      </c>
      <c r="K185">
        <v>177.5</v>
      </c>
      <c r="L185" t="s">
        <v>554</v>
      </c>
      <c r="M185" t="s">
        <v>554</v>
      </c>
    </row>
    <row r="186" spans="2:13" x14ac:dyDescent="0.25">
      <c r="B186" t="s">
        <v>662</v>
      </c>
      <c r="C186" t="s">
        <v>677</v>
      </c>
      <c r="D186" t="s">
        <v>664</v>
      </c>
      <c r="E186">
        <v>2</v>
      </c>
      <c r="G186">
        <v>193</v>
      </c>
      <c r="H186">
        <v>193</v>
      </c>
      <c r="I186">
        <v>178</v>
      </c>
      <c r="J186" t="s">
        <v>556</v>
      </c>
      <c r="K186">
        <v>177.5</v>
      </c>
      <c r="L186">
        <v>1.87756425361808E-2</v>
      </c>
      <c r="M186" t="s">
        <v>554</v>
      </c>
    </row>
    <row r="187" spans="2:13" x14ac:dyDescent="0.25">
      <c r="B187" t="s">
        <v>665</v>
      </c>
      <c r="C187" t="s">
        <v>677</v>
      </c>
      <c r="D187" t="s">
        <v>666</v>
      </c>
      <c r="E187">
        <v>2</v>
      </c>
      <c r="G187">
        <v>179</v>
      </c>
      <c r="H187">
        <v>179</v>
      </c>
      <c r="I187">
        <v>185</v>
      </c>
      <c r="J187" t="s">
        <v>556</v>
      </c>
      <c r="K187">
        <v>185</v>
      </c>
      <c r="L187" s="255">
        <v>2.10504212969641E-4</v>
      </c>
      <c r="M187">
        <v>8.1694441087368907E-3</v>
      </c>
    </row>
    <row r="188" spans="2:13" x14ac:dyDescent="0.25">
      <c r="B188" t="s">
        <v>665</v>
      </c>
      <c r="C188" t="s">
        <v>677</v>
      </c>
      <c r="D188" t="s">
        <v>667</v>
      </c>
      <c r="E188">
        <v>2</v>
      </c>
      <c r="G188">
        <v>191</v>
      </c>
      <c r="H188">
        <v>191</v>
      </c>
      <c r="I188">
        <v>185</v>
      </c>
      <c r="J188" t="s">
        <v>556</v>
      </c>
      <c r="K188">
        <v>185</v>
      </c>
      <c r="L188">
        <v>1.6128384004504101E-2</v>
      </c>
      <c r="M188">
        <v>8.1694441087368907E-3</v>
      </c>
    </row>
    <row r="189" spans="2:13" x14ac:dyDescent="0.25">
      <c r="B189" t="s">
        <v>668</v>
      </c>
      <c r="C189" t="s">
        <v>677</v>
      </c>
      <c r="D189" t="s">
        <v>670</v>
      </c>
      <c r="E189">
        <v>2</v>
      </c>
      <c r="G189">
        <v>182</v>
      </c>
      <c r="H189">
        <v>182</v>
      </c>
      <c r="I189">
        <v>184</v>
      </c>
      <c r="J189" t="s">
        <v>556</v>
      </c>
      <c r="K189">
        <v>183.5</v>
      </c>
      <c r="L189">
        <v>4.2004847504995496E-3</v>
      </c>
      <c r="M189">
        <v>6.1903597967977297E-3</v>
      </c>
    </row>
    <row r="190" spans="2:13" x14ac:dyDescent="0.25">
      <c r="B190" t="s">
        <v>668</v>
      </c>
      <c r="C190" t="s">
        <v>677</v>
      </c>
      <c r="D190" t="s">
        <v>669</v>
      </c>
      <c r="E190">
        <v>2</v>
      </c>
      <c r="G190">
        <v>185</v>
      </c>
      <c r="H190">
        <v>185</v>
      </c>
      <c r="I190">
        <v>184</v>
      </c>
      <c r="J190" t="s">
        <v>556</v>
      </c>
      <c r="K190">
        <v>183.5</v>
      </c>
      <c r="L190">
        <v>8.1802348430959106E-3</v>
      </c>
      <c r="M190">
        <v>6.1903597967977297E-3</v>
      </c>
    </row>
    <row r="191" spans="2:13" x14ac:dyDescent="0.25">
      <c r="B191" t="s">
        <v>671</v>
      </c>
      <c r="C191" t="s">
        <v>677</v>
      </c>
      <c r="D191" t="s">
        <v>672</v>
      </c>
      <c r="E191">
        <v>2</v>
      </c>
      <c r="G191">
        <v>220</v>
      </c>
      <c r="H191">
        <v>220</v>
      </c>
      <c r="I191">
        <v>213</v>
      </c>
      <c r="J191" t="s">
        <v>532</v>
      </c>
      <c r="K191">
        <v>212.5</v>
      </c>
      <c r="L191">
        <v>5.4460900640040603E-2</v>
      </c>
      <c r="M191">
        <v>4.45531456380448E-2</v>
      </c>
    </row>
    <row r="192" spans="2:13" x14ac:dyDescent="0.25">
      <c r="B192" t="s">
        <v>671</v>
      </c>
      <c r="C192" t="s">
        <v>677</v>
      </c>
      <c r="D192" t="s">
        <v>673</v>
      </c>
      <c r="E192">
        <v>2</v>
      </c>
      <c r="G192">
        <v>205</v>
      </c>
      <c r="H192">
        <v>205</v>
      </c>
      <c r="I192">
        <v>213</v>
      </c>
      <c r="J192" t="s">
        <v>556</v>
      </c>
      <c r="K192">
        <v>212.5</v>
      </c>
      <c r="L192">
        <v>3.4645390636049003E-2</v>
      </c>
      <c r="M192">
        <v>4.45531456380448E-2</v>
      </c>
    </row>
    <row r="193" spans="2:13" x14ac:dyDescent="0.25">
      <c r="B193" t="s">
        <v>674</v>
      </c>
      <c r="C193" t="s">
        <v>677</v>
      </c>
      <c r="D193" t="s">
        <v>675</v>
      </c>
      <c r="E193">
        <v>2</v>
      </c>
      <c r="G193">
        <v>203</v>
      </c>
      <c r="H193">
        <v>203</v>
      </c>
      <c r="I193">
        <v>201</v>
      </c>
      <c r="J193" t="s">
        <v>556</v>
      </c>
      <c r="K193">
        <v>200.5</v>
      </c>
      <c r="L193">
        <v>3.2001750222487899E-2</v>
      </c>
      <c r="M193">
        <v>2.86961433451999E-2</v>
      </c>
    </row>
    <row r="194" spans="2:13" x14ac:dyDescent="0.25">
      <c r="B194" t="s">
        <v>674</v>
      </c>
      <c r="C194" t="s">
        <v>677</v>
      </c>
      <c r="D194" t="s">
        <v>676</v>
      </c>
      <c r="E194">
        <v>2</v>
      </c>
      <c r="G194">
        <v>198</v>
      </c>
      <c r="H194">
        <v>198</v>
      </c>
      <c r="I194">
        <v>201</v>
      </c>
      <c r="J194" t="s">
        <v>556</v>
      </c>
      <c r="K194">
        <v>200.5</v>
      </c>
      <c r="L194">
        <v>2.5390536467911801E-2</v>
      </c>
      <c r="M194">
        <v>2.86961433451999E-2</v>
      </c>
    </row>
    <row r="195" spans="2:13" x14ac:dyDescent="0.25">
      <c r="B195" t="s">
        <v>527</v>
      </c>
      <c r="C195" t="s">
        <v>678</v>
      </c>
      <c r="D195" t="s">
        <v>529</v>
      </c>
      <c r="E195">
        <v>6</v>
      </c>
      <c r="F195">
        <v>4930</v>
      </c>
      <c r="G195">
        <v>1050588</v>
      </c>
      <c r="H195">
        <v>1050588</v>
      </c>
      <c r="I195">
        <v>1037076</v>
      </c>
      <c r="J195" t="s">
        <v>530</v>
      </c>
      <c r="K195">
        <v>1037075.5</v>
      </c>
      <c r="L195">
        <v>5207.8370192060402</v>
      </c>
      <c r="M195">
        <v>5143.9342701675996</v>
      </c>
    </row>
    <row r="196" spans="2:13" x14ac:dyDescent="0.25">
      <c r="B196" t="s">
        <v>527</v>
      </c>
      <c r="C196" t="s">
        <v>678</v>
      </c>
      <c r="D196" t="s">
        <v>531</v>
      </c>
      <c r="E196">
        <v>6</v>
      </c>
      <c r="F196">
        <v>4930</v>
      </c>
      <c r="G196">
        <v>1023563</v>
      </c>
      <c r="H196">
        <v>1023563</v>
      </c>
      <c r="I196">
        <v>1037076</v>
      </c>
      <c r="J196" t="s">
        <v>530</v>
      </c>
      <c r="K196">
        <v>1037075.5</v>
      </c>
      <c r="L196">
        <v>5080.03152112915</v>
      </c>
      <c r="M196">
        <v>5143.9342701675996</v>
      </c>
    </row>
    <row r="197" spans="2:13" x14ac:dyDescent="0.25">
      <c r="B197" t="s">
        <v>533</v>
      </c>
      <c r="C197" t="s">
        <v>678</v>
      </c>
      <c r="D197" t="s">
        <v>534</v>
      </c>
      <c r="E197">
        <v>6</v>
      </c>
      <c r="F197">
        <v>1232.5</v>
      </c>
      <c r="G197">
        <v>232421</v>
      </c>
      <c r="H197">
        <v>232421</v>
      </c>
      <c r="I197">
        <v>231826</v>
      </c>
      <c r="J197" t="s">
        <v>532</v>
      </c>
      <c r="K197">
        <v>231825.5</v>
      </c>
      <c r="L197">
        <v>1236.09380537722</v>
      </c>
      <c r="M197">
        <v>1233.07330189973</v>
      </c>
    </row>
    <row r="198" spans="2:13" x14ac:dyDescent="0.25">
      <c r="B198" t="s">
        <v>533</v>
      </c>
      <c r="C198" t="s">
        <v>678</v>
      </c>
      <c r="D198" t="s">
        <v>535</v>
      </c>
      <c r="E198">
        <v>6</v>
      </c>
      <c r="F198">
        <v>1232.5</v>
      </c>
      <c r="G198">
        <v>231230</v>
      </c>
      <c r="H198">
        <v>231230</v>
      </c>
      <c r="I198">
        <v>231826</v>
      </c>
      <c r="J198" t="s">
        <v>532</v>
      </c>
      <c r="K198">
        <v>231825.5</v>
      </c>
      <c r="L198">
        <v>1230.0527984222399</v>
      </c>
      <c r="M198">
        <v>1233.07330189973</v>
      </c>
    </row>
    <row r="199" spans="2:13" x14ac:dyDescent="0.25">
      <c r="B199" t="s">
        <v>536</v>
      </c>
      <c r="C199" t="s">
        <v>678</v>
      </c>
      <c r="D199" t="s">
        <v>537</v>
      </c>
      <c r="E199">
        <v>6</v>
      </c>
      <c r="F199">
        <v>308.125</v>
      </c>
      <c r="G199">
        <v>52202</v>
      </c>
      <c r="H199">
        <v>52202</v>
      </c>
      <c r="I199">
        <v>52000</v>
      </c>
      <c r="J199" t="s">
        <v>532</v>
      </c>
      <c r="K199">
        <v>51999.5</v>
      </c>
      <c r="L199">
        <v>297.02506648868001</v>
      </c>
      <c r="M199">
        <v>295.922452174417</v>
      </c>
    </row>
    <row r="200" spans="2:13" x14ac:dyDescent="0.25">
      <c r="B200" t="s">
        <v>536</v>
      </c>
      <c r="C200" t="s">
        <v>678</v>
      </c>
      <c r="D200" t="s">
        <v>538</v>
      </c>
      <c r="E200">
        <v>6</v>
      </c>
      <c r="F200">
        <v>308.125</v>
      </c>
      <c r="G200">
        <v>51797</v>
      </c>
      <c r="H200">
        <v>51797</v>
      </c>
      <c r="I200">
        <v>52000</v>
      </c>
      <c r="J200" t="s">
        <v>532</v>
      </c>
      <c r="K200">
        <v>51999.5</v>
      </c>
      <c r="L200">
        <v>294.819837860154</v>
      </c>
      <c r="M200">
        <v>295.922452174417</v>
      </c>
    </row>
    <row r="201" spans="2:13" x14ac:dyDescent="0.25">
      <c r="B201" t="s">
        <v>539</v>
      </c>
      <c r="C201" t="s">
        <v>678</v>
      </c>
      <c r="D201" t="s">
        <v>540</v>
      </c>
      <c r="E201">
        <v>6</v>
      </c>
      <c r="F201">
        <v>77.03125</v>
      </c>
      <c r="G201">
        <v>12509</v>
      </c>
      <c r="H201">
        <v>12509</v>
      </c>
      <c r="I201">
        <v>12441</v>
      </c>
      <c r="J201" t="s">
        <v>532</v>
      </c>
      <c r="K201">
        <v>12440.5</v>
      </c>
      <c r="L201">
        <v>75.143001113621594</v>
      </c>
      <c r="M201">
        <v>74.743539845498503</v>
      </c>
    </row>
    <row r="202" spans="2:13" x14ac:dyDescent="0.25">
      <c r="B202" t="s">
        <v>539</v>
      </c>
      <c r="C202" t="s">
        <v>678</v>
      </c>
      <c r="D202" t="s">
        <v>541</v>
      </c>
      <c r="E202">
        <v>6</v>
      </c>
      <c r="F202">
        <v>77.03125</v>
      </c>
      <c r="G202">
        <v>12372</v>
      </c>
      <c r="H202">
        <v>12372</v>
      </c>
      <c r="I202">
        <v>12441</v>
      </c>
      <c r="J202" t="s">
        <v>532</v>
      </c>
      <c r="K202">
        <v>12440.5</v>
      </c>
      <c r="L202">
        <v>74.344078577375498</v>
      </c>
      <c r="M202">
        <v>74.743539845498503</v>
      </c>
    </row>
    <row r="203" spans="2:13" x14ac:dyDescent="0.25">
      <c r="B203" t="s">
        <v>542</v>
      </c>
      <c r="C203" t="s">
        <v>678</v>
      </c>
      <c r="D203" t="s">
        <v>544</v>
      </c>
      <c r="E203">
        <v>6</v>
      </c>
      <c r="F203">
        <v>19.2578125</v>
      </c>
      <c r="G203">
        <v>3189</v>
      </c>
      <c r="H203">
        <v>3189</v>
      </c>
      <c r="I203">
        <v>3180</v>
      </c>
      <c r="J203" t="s">
        <v>532</v>
      </c>
      <c r="K203">
        <v>3180</v>
      </c>
      <c r="L203">
        <v>19.3637858707215</v>
      </c>
      <c r="M203">
        <v>19.307636478258001</v>
      </c>
    </row>
    <row r="204" spans="2:13" x14ac:dyDescent="0.25">
      <c r="B204" t="s">
        <v>542</v>
      </c>
      <c r="C204" t="s">
        <v>678</v>
      </c>
      <c r="D204" t="s">
        <v>543</v>
      </c>
      <c r="E204">
        <v>6</v>
      </c>
      <c r="F204">
        <v>19.2578125</v>
      </c>
      <c r="G204">
        <v>3171</v>
      </c>
      <c r="H204">
        <v>3171</v>
      </c>
      <c r="I204">
        <v>3180</v>
      </c>
      <c r="J204" t="s">
        <v>532</v>
      </c>
      <c r="K204">
        <v>3180</v>
      </c>
      <c r="L204">
        <v>19.251487085794501</v>
      </c>
      <c r="M204">
        <v>19.307636478258001</v>
      </c>
    </row>
    <row r="205" spans="2:13" x14ac:dyDescent="0.25">
      <c r="B205" t="s">
        <v>545</v>
      </c>
      <c r="C205" t="s">
        <v>678</v>
      </c>
      <c r="D205" t="s">
        <v>546</v>
      </c>
      <c r="E205">
        <v>6</v>
      </c>
      <c r="F205">
        <v>4.814453125</v>
      </c>
      <c r="G205">
        <v>945</v>
      </c>
      <c r="H205">
        <v>945</v>
      </c>
      <c r="I205">
        <v>942</v>
      </c>
      <c r="J205" t="s">
        <v>532</v>
      </c>
      <c r="K205">
        <v>941.5</v>
      </c>
      <c r="L205">
        <v>4.9940900572679601</v>
      </c>
      <c r="M205">
        <v>4.9707249999024503</v>
      </c>
    </row>
    <row r="206" spans="2:13" x14ac:dyDescent="0.25">
      <c r="B206" t="s">
        <v>545</v>
      </c>
      <c r="C206" t="s">
        <v>678</v>
      </c>
      <c r="D206" t="s">
        <v>547</v>
      </c>
      <c r="E206">
        <v>6</v>
      </c>
      <c r="F206">
        <v>4.814453125</v>
      </c>
      <c r="G206">
        <v>938</v>
      </c>
      <c r="H206">
        <v>938</v>
      </c>
      <c r="I206">
        <v>942</v>
      </c>
      <c r="J206" t="s">
        <v>532</v>
      </c>
      <c r="K206">
        <v>941.5</v>
      </c>
      <c r="L206">
        <v>4.9473599425369299</v>
      </c>
      <c r="M206">
        <v>4.9707249999024503</v>
      </c>
    </row>
    <row r="207" spans="2:13" x14ac:dyDescent="0.25">
      <c r="B207" t="s">
        <v>548</v>
      </c>
      <c r="C207" t="s">
        <v>678</v>
      </c>
      <c r="D207" t="s">
        <v>550</v>
      </c>
      <c r="E207">
        <v>6</v>
      </c>
      <c r="F207">
        <v>1.20361328125</v>
      </c>
      <c r="G207">
        <v>411</v>
      </c>
      <c r="H207">
        <v>411</v>
      </c>
      <c r="I207">
        <v>407</v>
      </c>
      <c r="J207" t="s">
        <v>532</v>
      </c>
      <c r="K207">
        <v>407</v>
      </c>
      <c r="L207">
        <v>1.3373690719609901</v>
      </c>
      <c r="M207">
        <v>1.30882800653997</v>
      </c>
    </row>
    <row r="208" spans="2:13" x14ac:dyDescent="0.25">
      <c r="B208" t="s">
        <v>548</v>
      </c>
      <c r="C208" t="s">
        <v>678</v>
      </c>
      <c r="D208" t="s">
        <v>549</v>
      </c>
      <c r="E208">
        <v>6</v>
      </c>
      <c r="F208">
        <v>1.20361328125</v>
      </c>
      <c r="G208">
        <v>403</v>
      </c>
      <c r="H208">
        <v>403</v>
      </c>
      <c r="I208">
        <v>407</v>
      </c>
      <c r="J208" t="s">
        <v>532</v>
      </c>
      <c r="K208">
        <v>407</v>
      </c>
      <c r="L208">
        <v>1.2802869411189599</v>
      </c>
      <c r="M208">
        <v>1.30882800653997</v>
      </c>
    </row>
    <row r="209" spans="2:13" x14ac:dyDescent="0.25">
      <c r="B209" t="s">
        <v>551</v>
      </c>
      <c r="C209" t="s">
        <v>678</v>
      </c>
      <c r="D209" t="s">
        <v>552</v>
      </c>
      <c r="E209">
        <v>6</v>
      </c>
      <c r="F209">
        <v>0</v>
      </c>
      <c r="G209">
        <v>226</v>
      </c>
      <c r="H209">
        <v>226</v>
      </c>
      <c r="I209">
        <v>227</v>
      </c>
      <c r="J209" t="s">
        <v>553</v>
      </c>
      <c r="K209">
        <v>226.5</v>
      </c>
      <c r="L209" t="s">
        <v>554</v>
      </c>
      <c r="M209" t="s">
        <v>554</v>
      </c>
    </row>
    <row r="210" spans="2:13" x14ac:dyDescent="0.25">
      <c r="B210" t="s">
        <v>551</v>
      </c>
      <c r="C210" t="s">
        <v>678</v>
      </c>
      <c r="D210" t="s">
        <v>555</v>
      </c>
      <c r="E210">
        <v>6</v>
      </c>
      <c r="F210">
        <v>0</v>
      </c>
      <c r="G210">
        <v>227</v>
      </c>
      <c r="H210">
        <v>227</v>
      </c>
      <c r="I210">
        <v>227</v>
      </c>
      <c r="J210" t="s">
        <v>553</v>
      </c>
      <c r="K210">
        <v>226.5</v>
      </c>
      <c r="L210" t="s">
        <v>554</v>
      </c>
      <c r="M210" t="s">
        <v>554</v>
      </c>
    </row>
    <row r="211" spans="2:13" x14ac:dyDescent="0.25">
      <c r="B211" t="s">
        <v>557</v>
      </c>
      <c r="C211" t="s">
        <v>678</v>
      </c>
      <c r="D211" t="s">
        <v>559</v>
      </c>
      <c r="E211">
        <v>6</v>
      </c>
      <c r="G211">
        <v>5385</v>
      </c>
      <c r="H211">
        <v>5385</v>
      </c>
      <c r="I211">
        <v>5398</v>
      </c>
      <c r="J211" t="s">
        <v>532</v>
      </c>
      <c r="K211">
        <v>5397.5</v>
      </c>
      <c r="L211">
        <v>32.8666639080664</v>
      </c>
      <c r="M211">
        <v>32.942598430799599</v>
      </c>
    </row>
    <row r="212" spans="2:13" x14ac:dyDescent="0.25">
      <c r="B212" t="s">
        <v>557</v>
      </c>
      <c r="C212" t="s">
        <v>678</v>
      </c>
      <c r="D212" t="s">
        <v>558</v>
      </c>
      <c r="E212">
        <v>6</v>
      </c>
      <c r="G212">
        <v>5410</v>
      </c>
      <c r="H212">
        <v>5410</v>
      </c>
      <c r="I212">
        <v>5398</v>
      </c>
      <c r="J212" t="s">
        <v>532</v>
      </c>
      <c r="K212">
        <v>5397.5</v>
      </c>
      <c r="L212">
        <v>33.018532953532798</v>
      </c>
      <c r="M212">
        <v>32.942598430799599</v>
      </c>
    </row>
    <row r="213" spans="2:13" x14ac:dyDescent="0.25">
      <c r="B213" t="s">
        <v>560</v>
      </c>
      <c r="C213" t="s">
        <v>678</v>
      </c>
      <c r="D213" t="s">
        <v>561</v>
      </c>
      <c r="E213">
        <v>6</v>
      </c>
      <c r="G213">
        <v>464</v>
      </c>
      <c r="H213">
        <v>464</v>
      </c>
      <c r="I213">
        <v>465</v>
      </c>
      <c r="J213" t="s">
        <v>532</v>
      </c>
      <c r="K213">
        <v>465</v>
      </c>
      <c r="L213">
        <v>1.7127086501850699</v>
      </c>
      <c r="M213">
        <v>1.71974736252629</v>
      </c>
    </row>
    <row r="214" spans="2:13" x14ac:dyDescent="0.25">
      <c r="B214" t="s">
        <v>560</v>
      </c>
      <c r="C214" t="s">
        <v>678</v>
      </c>
      <c r="D214" t="s">
        <v>562</v>
      </c>
      <c r="E214">
        <v>6</v>
      </c>
      <c r="G214">
        <v>466</v>
      </c>
      <c r="H214">
        <v>466</v>
      </c>
      <c r="I214">
        <v>465</v>
      </c>
      <c r="J214" t="s">
        <v>532</v>
      </c>
      <c r="K214">
        <v>465</v>
      </c>
      <c r="L214">
        <v>1.7267860748675199</v>
      </c>
      <c r="M214">
        <v>1.71974736252629</v>
      </c>
    </row>
    <row r="215" spans="2:13" x14ac:dyDescent="0.25">
      <c r="B215" t="s">
        <v>563</v>
      </c>
      <c r="C215" t="s">
        <v>678</v>
      </c>
      <c r="D215" t="s">
        <v>565</v>
      </c>
      <c r="E215">
        <v>6</v>
      </c>
      <c r="G215">
        <v>15478</v>
      </c>
      <c r="H215">
        <v>15478</v>
      </c>
      <c r="I215">
        <v>15643</v>
      </c>
      <c r="J215" t="s">
        <v>532</v>
      </c>
      <c r="K215">
        <v>15643</v>
      </c>
      <c r="L215">
        <v>92.360349883210006</v>
      </c>
      <c r="M215">
        <v>93.311969342450595</v>
      </c>
    </row>
    <row r="216" spans="2:13" x14ac:dyDescent="0.25">
      <c r="B216" t="s">
        <v>563</v>
      </c>
      <c r="C216" t="s">
        <v>678</v>
      </c>
      <c r="D216" t="s">
        <v>564</v>
      </c>
      <c r="E216">
        <v>6</v>
      </c>
      <c r="G216">
        <v>15808</v>
      </c>
      <c r="H216">
        <v>15808</v>
      </c>
      <c r="I216">
        <v>15643</v>
      </c>
      <c r="J216" t="s">
        <v>532</v>
      </c>
      <c r="K216">
        <v>15643</v>
      </c>
      <c r="L216">
        <v>94.263588801691199</v>
      </c>
      <c r="M216">
        <v>93.311969342450595</v>
      </c>
    </row>
    <row r="217" spans="2:13" x14ac:dyDescent="0.25">
      <c r="B217" t="s">
        <v>566</v>
      </c>
      <c r="C217" t="s">
        <v>678</v>
      </c>
      <c r="D217" t="s">
        <v>568</v>
      </c>
      <c r="E217">
        <v>6</v>
      </c>
      <c r="G217">
        <v>668</v>
      </c>
      <c r="H217">
        <v>668</v>
      </c>
      <c r="I217">
        <v>674</v>
      </c>
      <c r="J217" t="s">
        <v>532</v>
      </c>
      <c r="K217">
        <v>673.5</v>
      </c>
      <c r="L217">
        <v>3.1253491738174501</v>
      </c>
      <c r="M217">
        <v>3.1629031419005802</v>
      </c>
    </row>
    <row r="218" spans="2:13" x14ac:dyDescent="0.25">
      <c r="B218" t="s">
        <v>566</v>
      </c>
      <c r="C218" t="s">
        <v>678</v>
      </c>
      <c r="D218" t="s">
        <v>567</v>
      </c>
      <c r="E218">
        <v>6</v>
      </c>
      <c r="G218">
        <v>679</v>
      </c>
      <c r="H218">
        <v>679</v>
      </c>
      <c r="I218">
        <v>674</v>
      </c>
      <c r="J218" t="s">
        <v>532</v>
      </c>
      <c r="K218">
        <v>673.5</v>
      </c>
      <c r="L218">
        <v>3.2004571099837</v>
      </c>
      <c r="M218">
        <v>3.1629031419005802</v>
      </c>
    </row>
    <row r="219" spans="2:13" x14ac:dyDescent="0.25">
      <c r="B219" t="s">
        <v>569</v>
      </c>
      <c r="C219" t="s">
        <v>678</v>
      </c>
      <c r="D219" t="s">
        <v>570</v>
      </c>
      <c r="E219">
        <v>6</v>
      </c>
      <c r="G219">
        <v>337</v>
      </c>
      <c r="H219">
        <v>337</v>
      </c>
      <c r="I219">
        <v>338</v>
      </c>
      <c r="J219" t="s">
        <v>532</v>
      </c>
      <c r="K219">
        <v>338</v>
      </c>
      <c r="L219">
        <v>0.80377549616430399</v>
      </c>
      <c r="M219">
        <v>0.81108311232560204</v>
      </c>
    </row>
    <row r="220" spans="2:13" x14ac:dyDescent="0.25">
      <c r="B220" t="s">
        <v>569</v>
      </c>
      <c r="C220" t="s">
        <v>678</v>
      </c>
      <c r="D220" t="s">
        <v>571</v>
      </c>
      <c r="E220">
        <v>6</v>
      </c>
      <c r="G220">
        <v>339</v>
      </c>
      <c r="H220">
        <v>339</v>
      </c>
      <c r="I220">
        <v>338</v>
      </c>
      <c r="J220" t="s">
        <v>532</v>
      </c>
      <c r="K220">
        <v>338</v>
      </c>
      <c r="L220">
        <v>0.81839072848690098</v>
      </c>
      <c r="M220">
        <v>0.81108311232560204</v>
      </c>
    </row>
    <row r="221" spans="2:13" x14ac:dyDescent="0.25">
      <c r="B221" t="s">
        <v>572</v>
      </c>
      <c r="C221" t="s">
        <v>678</v>
      </c>
      <c r="D221" t="s">
        <v>573</v>
      </c>
      <c r="E221">
        <v>6</v>
      </c>
      <c r="G221">
        <v>13919</v>
      </c>
      <c r="H221">
        <v>13919</v>
      </c>
      <c r="I221">
        <v>13972</v>
      </c>
      <c r="J221" t="s">
        <v>532</v>
      </c>
      <c r="K221">
        <v>13971.5</v>
      </c>
      <c r="L221">
        <v>83.341730421028601</v>
      </c>
      <c r="M221">
        <v>83.646173680998501</v>
      </c>
    </row>
    <row r="222" spans="2:13" x14ac:dyDescent="0.25">
      <c r="B222" t="s">
        <v>572</v>
      </c>
      <c r="C222" t="s">
        <v>678</v>
      </c>
      <c r="D222" t="s">
        <v>574</v>
      </c>
      <c r="E222">
        <v>6</v>
      </c>
      <c r="G222">
        <v>14024</v>
      </c>
      <c r="H222">
        <v>14024</v>
      </c>
      <c r="I222">
        <v>13972</v>
      </c>
      <c r="J222" t="s">
        <v>532</v>
      </c>
      <c r="K222">
        <v>13971.5</v>
      </c>
      <c r="L222">
        <v>83.950616940968501</v>
      </c>
      <c r="M222">
        <v>83.646173680998501</v>
      </c>
    </row>
    <row r="223" spans="2:13" x14ac:dyDescent="0.25">
      <c r="B223" t="s">
        <v>575</v>
      </c>
      <c r="C223" t="s">
        <v>678</v>
      </c>
      <c r="D223" t="s">
        <v>576</v>
      </c>
      <c r="E223">
        <v>6</v>
      </c>
      <c r="G223">
        <v>7364</v>
      </c>
      <c r="H223">
        <v>7364</v>
      </c>
      <c r="I223">
        <v>7504</v>
      </c>
      <c r="J223" t="s">
        <v>532</v>
      </c>
      <c r="K223">
        <v>7503.5</v>
      </c>
      <c r="L223">
        <v>44.792671007853301</v>
      </c>
      <c r="M223">
        <v>45.626446846646203</v>
      </c>
    </row>
    <row r="224" spans="2:13" x14ac:dyDescent="0.25">
      <c r="B224" t="s">
        <v>575</v>
      </c>
      <c r="C224" t="s">
        <v>678</v>
      </c>
      <c r="D224" t="s">
        <v>577</v>
      </c>
      <c r="E224">
        <v>6</v>
      </c>
      <c r="G224">
        <v>7643</v>
      </c>
      <c r="H224">
        <v>7643</v>
      </c>
      <c r="I224">
        <v>7504</v>
      </c>
      <c r="J224" t="s">
        <v>532</v>
      </c>
      <c r="K224">
        <v>7503.5</v>
      </c>
      <c r="L224">
        <v>46.460222685439099</v>
      </c>
      <c r="M224">
        <v>45.626446846646203</v>
      </c>
    </row>
    <row r="225" spans="2:13" x14ac:dyDescent="0.25">
      <c r="B225" t="s">
        <v>578</v>
      </c>
      <c r="C225" t="s">
        <v>678</v>
      </c>
      <c r="D225" t="s">
        <v>580</v>
      </c>
      <c r="E225">
        <v>6</v>
      </c>
      <c r="G225">
        <v>10835</v>
      </c>
      <c r="H225">
        <v>10835</v>
      </c>
      <c r="I225">
        <v>11942</v>
      </c>
      <c r="J225" t="s">
        <v>532</v>
      </c>
      <c r="K225">
        <v>11942</v>
      </c>
      <c r="L225">
        <v>65.350357726460004</v>
      </c>
      <c r="M225">
        <v>71.819159918906493</v>
      </c>
    </row>
    <row r="226" spans="2:13" x14ac:dyDescent="0.25">
      <c r="B226" t="s">
        <v>578</v>
      </c>
      <c r="C226" t="s">
        <v>678</v>
      </c>
      <c r="D226" t="s">
        <v>579</v>
      </c>
      <c r="E226">
        <v>6</v>
      </c>
      <c r="G226">
        <v>13049</v>
      </c>
      <c r="H226">
        <v>13049</v>
      </c>
      <c r="I226">
        <v>11942</v>
      </c>
      <c r="J226" t="s">
        <v>532</v>
      </c>
      <c r="K226">
        <v>11942</v>
      </c>
      <c r="L226">
        <v>78.287962111352996</v>
      </c>
      <c r="M226">
        <v>71.819159918906493</v>
      </c>
    </row>
    <row r="227" spans="2:13" x14ac:dyDescent="0.25">
      <c r="B227" t="s">
        <v>581</v>
      </c>
      <c r="C227" t="s">
        <v>678</v>
      </c>
      <c r="D227" t="s">
        <v>582</v>
      </c>
      <c r="E227">
        <v>6</v>
      </c>
      <c r="G227">
        <v>3219</v>
      </c>
      <c r="H227">
        <v>3219</v>
      </c>
      <c r="I227">
        <v>3160</v>
      </c>
      <c r="J227" t="s">
        <v>532</v>
      </c>
      <c r="K227">
        <v>3160</v>
      </c>
      <c r="L227">
        <v>19.550878443922201</v>
      </c>
      <c r="M227">
        <v>19.182667691897699</v>
      </c>
    </row>
    <row r="228" spans="2:13" x14ac:dyDescent="0.25">
      <c r="B228" t="s">
        <v>581</v>
      </c>
      <c r="C228" t="s">
        <v>678</v>
      </c>
      <c r="D228" t="s">
        <v>583</v>
      </c>
      <c r="E228">
        <v>6</v>
      </c>
      <c r="G228">
        <v>3101</v>
      </c>
      <c r="H228">
        <v>3101</v>
      </c>
      <c r="I228">
        <v>3160</v>
      </c>
      <c r="J228" t="s">
        <v>532</v>
      </c>
      <c r="K228">
        <v>3160</v>
      </c>
      <c r="L228">
        <v>18.814456939873299</v>
      </c>
      <c r="M228">
        <v>19.182667691897699</v>
      </c>
    </row>
    <row r="229" spans="2:13" x14ac:dyDescent="0.25">
      <c r="B229" t="s">
        <v>584</v>
      </c>
      <c r="C229" t="s">
        <v>678</v>
      </c>
      <c r="D229" t="s">
        <v>586</v>
      </c>
      <c r="E229">
        <v>6</v>
      </c>
      <c r="G229">
        <v>11968</v>
      </c>
      <c r="H229">
        <v>11968</v>
      </c>
      <c r="I229">
        <v>12303</v>
      </c>
      <c r="J229" t="s">
        <v>532</v>
      </c>
      <c r="K229">
        <v>12302.5</v>
      </c>
      <c r="L229">
        <v>71.985618235132904</v>
      </c>
      <c r="M229">
        <v>73.937337639655595</v>
      </c>
    </row>
    <row r="230" spans="2:13" x14ac:dyDescent="0.25">
      <c r="B230" t="s">
        <v>584</v>
      </c>
      <c r="C230" t="s">
        <v>678</v>
      </c>
      <c r="D230" t="s">
        <v>585</v>
      </c>
      <c r="E230">
        <v>6</v>
      </c>
      <c r="G230">
        <v>12637</v>
      </c>
      <c r="H230">
        <v>12637</v>
      </c>
      <c r="I230">
        <v>12303</v>
      </c>
      <c r="J230" t="s">
        <v>532</v>
      </c>
      <c r="K230">
        <v>12302.5</v>
      </c>
      <c r="L230">
        <v>75.889057044178301</v>
      </c>
      <c r="M230">
        <v>73.937337639655595</v>
      </c>
    </row>
    <row r="231" spans="2:13" x14ac:dyDescent="0.25">
      <c r="B231" t="s">
        <v>587</v>
      </c>
      <c r="C231" t="s">
        <v>678</v>
      </c>
      <c r="D231" t="s">
        <v>589</v>
      </c>
      <c r="E231">
        <v>6</v>
      </c>
      <c r="G231">
        <v>4258</v>
      </c>
      <c r="H231">
        <v>4258</v>
      </c>
      <c r="I231">
        <v>4315</v>
      </c>
      <c r="J231" t="s">
        <v>532</v>
      </c>
      <c r="K231">
        <v>4315</v>
      </c>
      <c r="L231">
        <v>25.980977718235799</v>
      </c>
      <c r="M231">
        <v>26.3311302026435</v>
      </c>
    </row>
    <row r="232" spans="2:13" x14ac:dyDescent="0.25">
      <c r="B232" t="s">
        <v>587</v>
      </c>
      <c r="C232" t="s">
        <v>678</v>
      </c>
      <c r="D232" t="s">
        <v>588</v>
      </c>
      <c r="E232">
        <v>6</v>
      </c>
      <c r="G232">
        <v>4372</v>
      </c>
      <c r="H232">
        <v>4372</v>
      </c>
      <c r="I232">
        <v>4315</v>
      </c>
      <c r="J232" t="s">
        <v>532</v>
      </c>
      <c r="K232">
        <v>4315</v>
      </c>
      <c r="L232">
        <v>26.681282687051201</v>
      </c>
      <c r="M232">
        <v>26.3311302026435</v>
      </c>
    </row>
    <row r="233" spans="2:13" x14ac:dyDescent="0.25">
      <c r="B233" t="s">
        <v>590</v>
      </c>
      <c r="C233" t="s">
        <v>678</v>
      </c>
      <c r="D233" t="s">
        <v>591</v>
      </c>
      <c r="E233">
        <v>6</v>
      </c>
      <c r="G233">
        <v>26110</v>
      </c>
      <c r="H233">
        <v>26110</v>
      </c>
      <c r="I233">
        <v>26234</v>
      </c>
      <c r="J233" t="s">
        <v>532</v>
      </c>
      <c r="K233">
        <v>26234</v>
      </c>
      <c r="L233">
        <v>152.87946548052599</v>
      </c>
      <c r="M233">
        <v>153.57707624476299</v>
      </c>
    </row>
    <row r="234" spans="2:13" x14ac:dyDescent="0.25">
      <c r="B234" t="s">
        <v>590</v>
      </c>
      <c r="C234" t="s">
        <v>678</v>
      </c>
      <c r="D234" t="s">
        <v>592</v>
      </c>
      <c r="E234">
        <v>6</v>
      </c>
      <c r="G234">
        <v>26358</v>
      </c>
      <c r="H234">
        <v>26358</v>
      </c>
      <c r="I234">
        <v>26234</v>
      </c>
      <c r="J234" t="s">
        <v>532</v>
      </c>
      <c r="K234">
        <v>26234</v>
      </c>
      <c r="L234">
        <v>154.27468700899999</v>
      </c>
      <c r="M234">
        <v>153.57707624476299</v>
      </c>
    </row>
    <row r="235" spans="2:13" x14ac:dyDescent="0.25">
      <c r="B235" t="s">
        <v>593</v>
      </c>
      <c r="C235" t="s">
        <v>678</v>
      </c>
      <c r="D235" t="s">
        <v>595</v>
      </c>
      <c r="E235">
        <v>6</v>
      </c>
      <c r="G235">
        <v>7638</v>
      </c>
      <c r="H235">
        <v>7638</v>
      </c>
      <c r="I235">
        <v>7462</v>
      </c>
      <c r="J235" t="s">
        <v>532</v>
      </c>
      <c r="K235">
        <v>7462</v>
      </c>
      <c r="L235">
        <v>46.430364825117003</v>
      </c>
      <c r="M235">
        <v>45.378144562101198</v>
      </c>
    </row>
    <row r="236" spans="2:13" x14ac:dyDescent="0.25">
      <c r="B236" t="s">
        <v>593</v>
      </c>
      <c r="C236" t="s">
        <v>678</v>
      </c>
      <c r="D236" t="s">
        <v>594</v>
      </c>
      <c r="E236">
        <v>6</v>
      </c>
      <c r="G236">
        <v>7286</v>
      </c>
      <c r="H236">
        <v>7286</v>
      </c>
      <c r="I236">
        <v>7462</v>
      </c>
      <c r="J236" t="s">
        <v>532</v>
      </c>
      <c r="K236">
        <v>7462</v>
      </c>
      <c r="L236">
        <v>44.325924299085401</v>
      </c>
      <c r="M236">
        <v>45.378144562101198</v>
      </c>
    </row>
    <row r="237" spans="2:13" x14ac:dyDescent="0.25">
      <c r="B237" t="s">
        <v>596</v>
      </c>
      <c r="C237" t="s">
        <v>678</v>
      </c>
      <c r="D237" t="s">
        <v>598</v>
      </c>
      <c r="E237">
        <v>6</v>
      </c>
      <c r="G237">
        <v>12769</v>
      </c>
      <c r="H237">
        <v>12769</v>
      </c>
      <c r="I237">
        <v>13032</v>
      </c>
      <c r="J237" t="s">
        <v>532</v>
      </c>
      <c r="K237">
        <v>13032</v>
      </c>
      <c r="L237">
        <v>76.658044391669307</v>
      </c>
      <c r="M237">
        <v>78.188304661751204</v>
      </c>
    </row>
    <row r="238" spans="2:13" x14ac:dyDescent="0.25">
      <c r="B238" t="s">
        <v>596</v>
      </c>
      <c r="C238" t="s">
        <v>678</v>
      </c>
      <c r="D238" t="s">
        <v>597</v>
      </c>
      <c r="E238">
        <v>6</v>
      </c>
      <c r="G238">
        <v>13295</v>
      </c>
      <c r="H238">
        <v>13295</v>
      </c>
      <c r="I238">
        <v>13032</v>
      </c>
      <c r="J238" t="s">
        <v>532</v>
      </c>
      <c r="K238">
        <v>13032</v>
      </c>
      <c r="L238">
        <v>79.7185649318332</v>
      </c>
      <c r="M238">
        <v>78.188304661751204</v>
      </c>
    </row>
    <row r="239" spans="2:13" x14ac:dyDescent="0.25">
      <c r="B239" t="s">
        <v>599</v>
      </c>
      <c r="C239" t="s">
        <v>678</v>
      </c>
      <c r="D239" t="s">
        <v>600</v>
      </c>
      <c r="E239">
        <v>6</v>
      </c>
      <c r="G239">
        <v>74765</v>
      </c>
      <c r="H239">
        <v>74765</v>
      </c>
      <c r="I239">
        <v>73770</v>
      </c>
      <c r="J239" t="s">
        <v>532</v>
      </c>
      <c r="K239">
        <v>73770</v>
      </c>
      <c r="L239">
        <v>418.751259565922</v>
      </c>
      <c r="M239">
        <v>413.422913906345</v>
      </c>
    </row>
    <row r="240" spans="2:13" x14ac:dyDescent="0.25">
      <c r="B240" t="s">
        <v>599</v>
      </c>
      <c r="C240" t="s">
        <v>678</v>
      </c>
      <c r="D240" t="s">
        <v>601</v>
      </c>
      <c r="E240">
        <v>6</v>
      </c>
      <c r="G240">
        <v>72775</v>
      </c>
      <c r="H240">
        <v>72775</v>
      </c>
      <c r="I240">
        <v>73770</v>
      </c>
      <c r="J240" t="s">
        <v>532</v>
      </c>
      <c r="K240">
        <v>73770</v>
      </c>
      <c r="L240">
        <v>408.09456824676897</v>
      </c>
      <c r="M240">
        <v>413.422913906345</v>
      </c>
    </row>
    <row r="241" spans="2:13" x14ac:dyDescent="0.25">
      <c r="B241" t="s">
        <v>602</v>
      </c>
      <c r="C241" t="s">
        <v>678</v>
      </c>
      <c r="D241" t="s">
        <v>603</v>
      </c>
      <c r="E241">
        <v>6</v>
      </c>
      <c r="G241">
        <v>888</v>
      </c>
      <c r="H241">
        <v>888</v>
      </c>
      <c r="I241">
        <v>869</v>
      </c>
      <c r="J241" t="s">
        <v>532</v>
      </c>
      <c r="K241">
        <v>869</v>
      </c>
      <c r="L241">
        <v>4.6129186300193004</v>
      </c>
      <c r="M241">
        <v>4.4854272801904704</v>
      </c>
    </row>
    <row r="242" spans="2:13" x14ac:dyDescent="0.25">
      <c r="B242" t="s">
        <v>602</v>
      </c>
      <c r="C242" t="s">
        <v>678</v>
      </c>
      <c r="D242" t="s">
        <v>604</v>
      </c>
      <c r="E242">
        <v>6</v>
      </c>
      <c r="G242">
        <v>850</v>
      </c>
      <c r="H242">
        <v>850</v>
      </c>
      <c r="I242">
        <v>869</v>
      </c>
      <c r="J242" t="s">
        <v>532</v>
      </c>
      <c r="K242">
        <v>869</v>
      </c>
      <c r="L242">
        <v>4.3579359303616396</v>
      </c>
      <c r="M242">
        <v>4.4854272801904704</v>
      </c>
    </row>
    <row r="243" spans="2:13" x14ac:dyDescent="0.25">
      <c r="B243" t="s">
        <v>605</v>
      </c>
      <c r="C243" t="s">
        <v>678</v>
      </c>
      <c r="D243" t="s">
        <v>606</v>
      </c>
      <c r="E243">
        <v>6</v>
      </c>
      <c r="G243">
        <v>24985</v>
      </c>
      <c r="H243">
        <v>24985</v>
      </c>
      <c r="I243">
        <v>23978</v>
      </c>
      <c r="J243" t="s">
        <v>532</v>
      </c>
      <c r="K243">
        <v>23978</v>
      </c>
      <c r="L243">
        <v>146.54226560056199</v>
      </c>
      <c r="M243">
        <v>140.85244222652199</v>
      </c>
    </row>
    <row r="244" spans="2:13" x14ac:dyDescent="0.25">
      <c r="B244" t="s">
        <v>605</v>
      </c>
      <c r="C244" t="s">
        <v>678</v>
      </c>
      <c r="D244" t="s">
        <v>607</v>
      </c>
      <c r="E244">
        <v>6</v>
      </c>
      <c r="G244">
        <v>22971</v>
      </c>
      <c r="H244">
        <v>22971</v>
      </c>
      <c r="I244">
        <v>23978</v>
      </c>
      <c r="J244" t="s">
        <v>532</v>
      </c>
      <c r="K244">
        <v>23978</v>
      </c>
      <c r="L244">
        <v>135.16261885248201</v>
      </c>
      <c r="M244">
        <v>140.85244222652199</v>
      </c>
    </row>
    <row r="245" spans="2:13" x14ac:dyDescent="0.25">
      <c r="B245" t="s">
        <v>608</v>
      </c>
      <c r="C245" t="s">
        <v>678</v>
      </c>
      <c r="D245" t="s">
        <v>609</v>
      </c>
      <c r="E245">
        <v>6</v>
      </c>
      <c r="G245">
        <v>2444</v>
      </c>
      <c r="H245">
        <v>2444</v>
      </c>
      <c r="I245">
        <v>2454</v>
      </c>
      <c r="J245" t="s">
        <v>532</v>
      </c>
      <c r="K245">
        <v>2454</v>
      </c>
      <c r="L245">
        <v>14.6858993569844</v>
      </c>
      <c r="M245">
        <v>14.7491313371254</v>
      </c>
    </row>
    <row r="246" spans="2:13" x14ac:dyDescent="0.25">
      <c r="B246" t="s">
        <v>608</v>
      </c>
      <c r="C246" t="s">
        <v>678</v>
      </c>
      <c r="D246" t="s">
        <v>610</v>
      </c>
      <c r="E246">
        <v>6</v>
      </c>
      <c r="G246">
        <v>2464</v>
      </c>
      <c r="H246">
        <v>2464</v>
      </c>
      <c r="I246">
        <v>2454</v>
      </c>
      <c r="J246" t="s">
        <v>532</v>
      </c>
      <c r="K246">
        <v>2454</v>
      </c>
      <c r="L246">
        <v>14.812363317266501</v>
      </c>
      <c r="M246">
        <v>14.7491313371254</v>
      </c>
    </row>
    <row r="247" spans="2:13" x14ac:dyDescent="0.25">
      <c r="B247" t="s">
        <v>611</v>
      </c>
      <c r="C247" t="s">
        <v>678</v>
      </c>
      <c r="D247" t="s">
        <v>612</v>
      </c>
      <c r="E247">
        <v>6</v>
      </c>
      <c r="G247">
        <v>9704</v>
      </c>
      <c r="H247">
        <v>9704</v>
      </c>
      <c r="I247">
        <v>9599</v>
      </c>
      <c r="J247" t="s">
        <v>532</v>
      </c>
      <c r="K247">
        <v>9598.5</v>
      </c>
      <c r="L247">
        <v>58.693071226123301</v>
      </c>
      <c r="M247">
        <v>58.070049121331799</v>
      </c>
    </row>
    <row r="248" spans="2:13" x14ac:dyDescent="0.25">
      <c r="B248" t="s">
        <v>611</v>
      </c>
      <c r="C248" t="s">
        <v>678</v>
      </c>
      <c r="D248" t="s">
        <v>613</v>
      </c>
      <c r="E248">
        <v>6</v>
      </c>
      <c r="G248">
        <v>9493</v>
      </c>
      <c r="H248">
        <v>9493</v>
      </c>
      <c r="I248">
        <v>9599</v>
      </c>
      <c r="J248" t="s">
        <v>532</v>
      </c>
      <c r="K248">
        <v>9598.5</v>
      </c>
      <c r="L248">
        <v>57.447027016540297</v>
      </c>
      <c r="M248">
        <v>58.070049121331799</v>
      </c>
    </row>
    <row r="249" spans="2:13" x14ac:dyDescent="0.25">
      <c r="B249" t="s">
        <v>614</v>
      </c>
      <c r="C249" t="s">
        <v>678</v>
      </c>
      <c r="D249" t="s">
        <v>616</v>
      </c>
      <c r="E249">
        <v>6</v>
      </c>
      <c r="G249">
        <v>7980</v>
      </c>
      <c r="H249">
        <v>7980</v>
      </c>
      <c r="I249">
        <v>7980</v>
      </c>
      <c r="J249" t="s">
        <v>532</v>
      </c>
      <c r="K249">
        <v>7979.5</v>
      </c>
      <c r="L249">
        <v>48.470470358911498</v>
      </c>
      <c r="M249">
        <v>48.467490912534799</v>
      </c>
    </row>
    <row r="250" spans="2:13" x14ac:dyDescent="0.25">
      <c r="B250" t="s">
        <v>614</v>
      </c>
      <c r="C250" t="s">
        <v>678</v>
      </c>
      <c r="D250" t="s">
        <v>615</v>
      </c>
      <c r="E250">
        <v>6</v>
      </c>
      <c r="G250">
        <v>7979</v>
      </c>
      <c r="H250">
        <v>7979</v>
      </c>
      <c r="I250">
        <v>7980</v>
      </c>
      <c r="J250" t="s">
        <v>532</v>
      </c>
      <c r="K250">
        <v>7979.5</v>
      </c>
      <c r="L250">
        <v>48.4645114661581</v>
      </c>
      <c r="M250">
        <v>48.467490912534799</v>
      </c>
    </row>
    <row r="251" spans="2:13" x14ac:dyDescent="0.25">
      <c r="B251" t="s">
        <v>617</v>
      </c>
      <c r="C251" t="s">
        <v>678</v>
      </c>
      <c r="D251" t="s">
        <v>619</v>
      </c>
      <c r="E251">
        <v>6</v>
      </c>
      <c r="G251">
        <v>2920</v>
      </c>
      <c r="H251">
        <v>2920</v>
      </c>
      <c r="I251">
        <v>2922</v>
      </c>
      <c r="J251" t="s">
        <v>532</v>
      </c>
      <c r="K251">
        <v>2922</v>
      </c>
      <c r="L251">
        <v>17.682038669906898</v>
      </c>
      <c r="M251">
        <v>17.694570730063901</v>
      </c>
    </row>
    <row r="252" spans="2:13" x14ac:dyDescent="0.25">
      <c r="B252" t="s">
        <v>617</v>
      </c>
      <c r="C252" t="s">
        <v>678</v>
      </c>
      <c r="D252" t="s">
        <v>618</v>
      </c>
      <c r="E252">
        <v>6</v>
      </c>
      <c r="G252">
        <v>2924</v>
      </c>
      <c r="H252">
        <v>2924</v>
      </c>
      <c r="I252">
        <v>2922</v>
      </c>
      <c r="J252" t="s">
        <v>532</v>
      </c>
      <c r="K252">
        <v>2922</v>
      </c>
      <c r="L252">
        <v>17.707102790220802</v>
      </c>
      <c r="M252">
        <v>17.694570730063901</v>
      </c>
    </row>
    <row r="253" spans="2:13" x14ac:dyDescent="0.25">
      <c r="B253" t="s">
        <v>620</v>
      </c>
      <c r="C253" t="s">
        <v>678</v>
      </c>
      <c r="D253" t="s">
        <v>621</v>
      </c>
      <c r="E253">
        <v>6</v>
      </c>
      <c r="G253">
        <v>3793</v>
      </c>
      <c r="H253">
        <v>3793</v>
      </c>
      <c r="I253">
        <v>3771</v>
      </c>
      <c r="J253" t="s">
        <v>532</v>
      </c>
      <c r="K253">
        <v>3770.5</v>
      </c>
      <c r="L253">
        <v>23.114387164615302</v>
      </c>
      <c r="M253">
        <v>22.9752261101142</v>
      </c>
    </row>
    <row r="254" spans="2:13" x14ac:dyDescent="0.25">
      <c r="B254" t="s">
        <v>620</v>
      </c>
      <c r="C254" t="s">
        <v>678</v>
      </c>
      <c r="D254" t="s">
        <v>622</v>
      </c>
      <c r="E254">
        <v>6</v>
      </c>
      <c r="G254">
        <v>3748</v>
      </c>
      <c r="H254">
        <v>3748</v>
      </c>
      <c r="I254">
        <v>3771</v>
      </c>
      <c r="J254" t="s">
        <v>532</v>
      </c>
      <c r="K254">
        <v>3770.5</v>
      </c>
      <c r="L254">
        <v>22.836065055612998</v>
      </c>
      <c r="M254">
        <v>22.9752261101142</v>
      </c>
    </row>
    <row r="255" spans="2:13" x14ac:dyDescent="0.25">
      <c r="B255" t="s">
        <v>623</v>
      </c>
      <c r="C255" t="s">
        <v>678</v>
      </c>
      <c r="D255" t="s">
        <v>625</v>
      </c>
      <c r="E255">
        <v>6</v>
      </c>
      <c r="G255">
        <v>11715</v>
      </c>
      <c r="H255">
        <v>11715</v>
      </c>
      <c r="I255">
        <v>11918</v>
      </c>
      <c r="J255" t="s">
        <v>532</v>
      </c>
      <c r="K255">
        <v>11918</v>
      </c>
      <c r="L255">
        <v>70.506704919473606</v>
      </c>
      <c r="M255">
        <v>71.692974548992794</v>
      </c>
    </row>
    <row r="256" spans="2:13" x14ac:dyDescent="0.25">
      <c r="B256" t="s">
        <v>623</v>
      </c>
      <c r="C256" t="s">
        <v>678</v>
      </c>
      <c r="D256" t="s">
        <v>624</v>
      </c>
      <c r="E256">
        <v>6</v>
      </c>
      <c r="G256">
        <v>12121</v>
      </c>
      <c r="H256">
        <v>12121</v>
      </c>
      <c r="I256">
        <v>11918</v>
      </c>
      <c r="J256" t="s">
        <v>532</v>
      </c>
      <c r="K256">
        <v>11918</v>
      </c>
      <c r="L256">
        <v>72.879244178511897</v>
      </c>
      <c r="M256">
        <v>71.692974548992794</v>
      </c>
    </row>
    <row r="257" spans="2:13" x14ac:dyDescent="0.25">
      <c r="B257" t="s">
        <v>626</v>
      </c>
      <c r="C257" t="s">
        <v>678</v>
      </c>
      <c r="D257" t="s">
        <v>628</v>
      </c>
      <c r="E257">
        <v>6</v>
      </c>
      <c r="G257">
        <v>13269</v>
      </c>
      <c r="H257">
        <v>13269</v>
      </c>
      <c r="I257">
        <v>12901</v>
      </c>
      <c r="J257" t="s">
        <v>532</v>
      </c>
      <c r="K257">
        <v>12901</v>
      </c>
      <c r="L257">
        <v>79.567423897871805</v>
      </c>
      <c r="M257">
        <v>77.425169262883699</v>
      </c>
    </row>
    <row r="258" spans="2:13" x14ac:dyDescent="0.25">
      <c r="B258" t="s">
        <v>626</v>
      </c>
      <c r="C258" t="s">
        <v>678</v>
      </c>
      <c r="D258" t="s">
        <v>627</v>
      </c>
      <c r="E258">
        <v>6</v>
      </c>
      <c r="G258">
        <v>12533</v>
      </c>
      <c r="H258">
        <v>12533</v>
      </c>
      <c r="I258">
        <v>12901</v>
      </c>
      <c r="J258" t="s">
        <v>532</v>
      </c>
      <c r="K258">
        <v>12901</v>
      </c>
      <c r="L258">
        <v>75.282914627895494</v>
      </c>
      <c r="M258">
        <v>77.425169262883699</v>
      </c>
    </row>
    <row r="259" spans="2:13" x14ac:dyDescent="0.25">
      <c r="B259" t="s">
        <v>629</v>
      </c>
      <c r="C259" t="s">
        <v>678</v>
      </c>
      <c r="D259" t="s">
        <v>630</v>
      </c>
      <c r="E259">
        <v>6</v>
      </c>
      <c r="G259">
        <v>45492</v>
      </c>
      <c r="H259">
        <v>45492</v>
      </c>
      <c r="I259">
        <v>44151</v>
      </c>
      <c r="J259" t="s">
        <v>532</v>
      </c>
      <c r="K259">
        <v>44151</v>
      </c>
      <c r="L259">
        <v>260.37854501974698</v>
      </c>
      <c r="M259">
        <v>253.01955121044</v>
      </c>
    </row>
    <row r="260" spans="2:13" x14ac:dyDescent="0.25">
      <c r="B260" t="s">
        <v>629</v>
      </c>
      <c r="C260" t="s">
        <v>678</v>
      </c>
      <c r="D260" t="s">
        <v>631</v>
      </c>
      <c r="E260">
        <v>6</v>
      </c>
      <c r="G260">
        <v>42810</v>
      </c>
      <c r="H260">
        <v>42810</v>
      </c>
      <c r="I260">
        <v>44151</v>
      </c>
      <c r="J260" t="s">
        <v>532</v>
      </c>
      <c r="K260">
        <v>44151</v>
      </c>
      <c r="L260">
        <v>245.66055740113299</v>
      </c>
      <c r="M260">
        <v>253.01955121044</v>
      </c>
    </row>
    <row r="261" spans="2:13" x14ac:dyDescent="0.25">
      <c r="B261" t="s">
        <v>632</v>
      </c>
      <c r="C261" t="s">
        <v>678</v>
      </c>
      <c r="D261" t="s">
        <v>634</v>
      </c>
      <c r="E261">
        <v>6</v>
      </c>
      <c r="G261">
        <v>567</v>
      </c>
      <c r="H261">
        <v>567</v>
      </c>
      <c r="I261">
        <v>566</v>
      </c>
      <c r="J261" t="s">
        <v>532</v>
      </c>
      <c r="K261">
        <v>565.5</v>
      </c>
      <c r="L261">
        <v>2.4311613420795299</v>
      </c>
      <c r="M261">
        <v>2.42078182771044</v>
      </c>
    </row>
    <row r="262" spans="2:13" x14ac:dyDescent="0.25">
      <c r="B262" t="s">
        <v>632</v>
      </c>
      <c r="C262" t="s">
        <v>678</v>
      </c>
      <c r="D262" t="s">
        <v>633</v>
      </c>
      <c r="E262">
        <v>6</v>
      </c>
      <c r="G262">
        <v>564</v>
      </c>
      <c r="H262">
        <v>564</v>
      </c>
      <c r="I262">
        <v>566</v>
      </c>
      <c r="J262" t="s">
        <v>532</v>
      </c>
      <c r="K262">
        <v>565.5</v>
      </c>
      <c r="L262">
        <v>2.4104023133413501</v>
      </c>
      <c r="M262">
        <v>2.42078182771044</v>
      </c>
    </row>
    <row r="263" spans="2:13" x14ac:dyDescent="0.25">
      <c r="B263" t="s">
        <v>635</v>
      </c>
      <c r="C263" t="s">
        <v>678</v>
      </c>
      <c r="D263" t="s">
        <v>637</v>
      </c>
      <c r="E263">
        <v>6</v>
      </c>
      <c r="G263">
        <v>10983</v>
      </c>
      <c r="H263">
        <v>10983</v>
      </c>
      <c r="I263">
        <v>11116</v>
      </c>
      <c r="J263" t="s">
        <v>532</v>
      </c>
      <c r="K263">
        <v>11115.5</v>
      </c>
      <c r="L263">
        <v>66.218939958796895</v>
      </c>
      <c r="M263">
        <v>66.995849216314198</v>
      </c>
    </row>
    <row r="264" spans="2:13" x14ac:dyDescent="0.25">
      <c r="B264" t="s">
        <v>635</v>
      </c>
      <c r="C264" t="s">
        <v>678</v>
      </c>
      <c r="D264" t="s">
        <v>636</v>
      </c>
      <c r="E264">
        <v>6</v>
      </c>
      <c r="G264">
        <v>11248</v>
      </c>
      <c r="H264">
        <v>11248</v>
      </c>
      <c r="I264">
        <v>11116</v>
      </c>
      <c r="J264" t="s">
        <v>532</v>
      </c>
      <c r="K264">
        <v>11115.5</v>
      </c>
      <c r="L264">
        <v>67.772758473831502</v>
      </c>
      <c r="M264">
        <v>66.995849216314198</v>
      </c>
    </row>
    <row r="265" spans="2:13" x14ac:dyDescent="0.25">
      <c r="B265" t="s">
        <v>638</v>
      </c>
      <c r="C265" t="s">
        <v>678</v>
      </c>
      <c r="D265" t="s">
        <v>640</v>
      </c>
      <c r="E265">
        <v>6</v>
      </c>
      <c r="G265">
        <v>1237</v>
      </c>
      <c r="H265">
        <v>1237</v>
      </c>
      <c r="I265">
        <v>1295</v>
      </c>
      <c r="J265" t="s">
        <v>532</v>
      </c>
      <c r="K265">
        <v>1294.5</v>
      </c>
      <c r="L265">
        <v>6.9262348128591604</v>
      </c>
      <c r="M265">
        <v>7.3028012985800697</v>
      </c>
    </row>
    <row r="266" spans="2:13" x14ac:dyDescent="0.25">
      <c r="B266" t="s">
        <v>638</v>
      </c>
      <c r="C266" t="s">
        <v>678</v>
      </c>
      <c r="D266" t="s">
        <v>639</v>
      </c>
      <c r="E266">
        <v>6</v>
      </c>
      <c r="G266">
        <v>1352</v>
      </c>
      <c r="H266">
        <v>1352</v>
      </c>
      <c r="I266">
        <v>1295</v>
      </c>
      <c r="J266" t="s">
        <v>532</v>
      </c>
      <c r="K266">
        <v>1294.5</v>
      </c>
      <c r="L266">
        <v>7.67936778430097</v>
      </c>
      <c r="M266">
        <v>7.3028012985800697</v>
      </c>
    </row>
    <row r="267" spans="2:13" x14ac:dyDescent="0.25">
      <c r="B267" t="s">
        <v>641</v>
      </c>
      <c r="C267" t="s">
        <v>678</v>
      </c>
      <c r="D267" t="s">
        <v>642</v>
      </c>
      <c r="E267">
        <v>6</v>
      </c>
      <c r="G267">
        <v>32195</v>
      </c>
      <c r="H267">
        <v>32195</v>
      </c>
      <c r="I267">
        <v>32589</v>
      </c>
      <c r="J267" t="s">
        <v>532</v>
      </c>
      <c r="K267">
        <v>32588.5</v>
      </c>
      <c r="L267">
        <v>186.94370614935801</v>
      </c>
      <c r="M267">
        <v>189.134638474936</v>
      </c>
    </row>
    <row r="268" spans="2:13" x14ac:dyDescent="0.25">
      <c r="B268" t="s">
        <v>641</v>
      </c>
      <c r="C268" t="s">
        <v>678</v>
      </c>
      <c r="D268" t="s">
        <v>643</v>
      </c>
      <c r="E268">
        <v>6</v>
      </c>
      <c r="G268">
        <v>32982</v>
      </c>
      <c r="H268">
        <v>32982</v>
      </c>
      <c r="I268">
        <v>32589</v>
      </c>
      <c r="J268" t="s">
        <v>532</v>
      </c>
      <c r="K268">
        <v>32588.5</v>
      </c>
      <c r="L268">
        <v>191.32557080051299</v>
      </c>
      <c r="M268">
        <v>189.134638474936</v>
      </c>
    </row>
    <row r="269" spans="2:13" x14ac:dyDescent="0.25">
      <c r="B269" t="s">
        <v>644</v>
      </c>
      <c r="C269" t="s">
        <v>678</v>
      </c>
      <c r="D269" t="s">
        <v>646</v>
      </c>
      <c r="E269">
        <v>6</v>
      </c>
      <c r="G269">
        <v>301</v>
      </c>
      <c r="H269">
        <v>301</v>
      </c>
      <c r="I269">
        <v>302</v>
      </c>
      <c r="J269" t="s">
        <v>532</v>
      </c>
      <c r="K269">
        <v>301.5</v>
      </c>
      <c r="L269">
        <v>0.53811719528206503</v>
      </c>
      <c r="M269">
        <v>0.54184527253005299</v>
      </c>
    </row>
    <row r="270" spans="2:13" x14ac:dyDescent="0.25">
      <c r="B270" t="s">
        <v>644</v>
      </c>
      <c r="C270" t="s">
        <v>678</v>
      </c>
      <c r="D270" t="s">
        <v>645</v>
      </c>
      <c r="E270">
        <v>6</v>
      </c>
      <c r="G270">
        <v>302</v>
      </c>
      <c r="H270">
        <v>302</v>
      </c>
      <c r="I270">
        <v>302</v>
      </c>
      <c r="J270" t="s">
        <v>532</v>
      </c>
      <c r="K270">
        <v>301.5</v>
      </c>
      <c r="L270">
        <v>0.54557334977804095</v>
      </c>
      <c r="M270">
        <v>0.54184527253005299</v>
      </c>
    </row>
    <row r="271" spans="2:13" x14ac:dyDescent="0.25">
      <c r="B271" t="s">
        <v>647</v>
      </c>
      <c r="C271" t="s">
        <v>678</v>
      </c>
      <c r="D271" t="s">
        <v>649</v>
      </c>
      <c r="E271">
        <v>6</v>
      </c>
      <c r="G271">
        <v>856</v>
      </c>
      <c r="H271">
        <v>856</v>
      </c>
      <c r="I271">
        <v>836</v>
      </c>
      <c r="J271" t="s">
        <v>532</v>
      </c>
      <c r="K271">
        <v>835.5</v>
      </c>
      <c r="L271">
        <v>4.3982447812333199</v>
      </c>
      <c r="M271">
        <v>4.2603343187674501</v>
      </c>
    </row>
    <row r="272" spans="2:13" x14ac:dyDescent="0.25">
      <c r="B272" t="s">
        <v>647</v>
      </c>
      <c r="C272" t="s">
        <v>678</v>
      </c>
      <c r="D272" t="s">
        <v>648</v>
      </c>
      <c r="E272">
        <v>6</v>
      </c>
      <c r="G272">
        <v>815</v>
      </c>
      <c r="H272">
        <v>815</v>
      </c>
      <c r="I272">
        <v>836</v>
      </c>
      <c r="J272" t="s">
        <v>532</v>
      </c>
      <c r="K272">
        <v>835.5</v>
      </c>
      <c r="L272">
        <v>4.1224238563015696</v>
      </c>
      <c r="M272">
        <v>4.2603343187674501</v>
      </c>
    </row>
    <row r="273" spans="2:13" x14ac:dyDescent="0.25">
      <c r="B273" t="s">
        <v>650</v>
      </c>
      <c r="C273" t="s">
        <v>678</v>
      </c>
      <c r="D273" t="s">
        <v>651</v>
      </c>
      <c r="E273">
        <v>6</v>
      </c>
      <c r="G273">
        <v>15968</v>
      </c>
      <c r="H273">
        <v>15968</v>
      </c>
      <c r="I273">
        <v>12966</v>
      </c>
      <c r="J273" t="s">
        <v>532</v>
      </c>
      <c r="K273">
        <v>12966</v>
      </c>
      <c r="L273">
        <v>95.185679647044196</v>
      </c>
      <c r="M273">
        <v>77.706175732442006</v>
      </c>
    </row>
    <row r="274" spans="2:13" x14ac:dyDescent="0.25">
      <c r="B274" t="s">
        <v>650</v>
      </c>
      <c r="C274" t="s">
        <v>678</v>
      </c>
      <c r="D274" t="s">
        <v>652</v>
      </c>
      <c r="E274">
        <v>6</v>
      </c>
      <c r="G274">
        <v>9964</v>
      </c>
      <c r="H274">
        <v>9964</v>
      </c>
      <c r="I274">
        <v>12966</v>
      </c>
      <c r="J274" t="s">
        <v>532</v>
      </c>
      <c r="K274">
        <v>12966</v>
      </c>
      <c r="L274">
        <v>60.226671817839801</v>
      </c>
      <c r="M274">
        <v>77.706175732442006</v>
      </c>
    </row>
    <row r="275" spans="2:13" x14ac:dyDescent="0.25">
      <c r="B275" t="s">
        <v>653</v>
      </c>
      <c r="C275" t="s">
        <v>678</v>
      </c>
      <c r="D275" t="s">
        <v>654</v>
      </c>
      <c r="E275">
        <v>6</v>
      </c>
      <c r="G275">
        <v>3843</v>
      </c>
      <c r="H275">
        <v>3843</v>
      </c>
      <c r="I275">
        <v>3833</v>
      </c>
      <c r="J275" t="s">
        <v>532</v>
      </c>
      <c r="K275">
        <v>3833</v>
      </c>
      <c r="L275">
        <v>23.423438107181099</v>
      </c>
      <c r="M275">
        <v>23.361640197347899</v>
      </c>
    </row>
    <row r="276" spans="2:13" x14ac:dyDescent="0.25">
      <c r="B276" t="s">
        <v>653</v>
      </c>
      <c r="C276" t="s">
        <v>678</v>
      </c>
      <c r="D276" t="s">
        <v>655</v>
      </c>
      <c r="E276">
        <v>6</v>
      </c>
      <c r="G276">
        <v>3823</v>
      </c>
      <c r="H276">
        <v>3823</v>
      </c>
      <c r="I276">
        <v>3833</v>
      </c>
      <c r="J276" t="s">
        <v>532</v>
      </c>
      <c r="K276">
        <v>3833</v>
      </c>
      <c r="L276">
        <v>23.2998422875147</v>
      </c>
      <c r="M276">
        <v>23.361640197347899</v>
      </c>
    </row>
    <row r="277" spans="2:13" x14ac:dyDescent="0.25">
      <c r="B277" t="s">
        <v>656</v>
      </c>
      <c r="C277" t="s">
        <v>678</v>
      </c>
      <c r="D277" t="s">
        <v>658</v>
      </c>
      <c r="E277">
        <v>6</v>
      </c>
      <c r="G277">
        <v>325</v>
      </c>
      <c r="H277">
        <v>325</v>
      </c>
      <c r="I277">
        <v>330</v>
      </c>
      <c r="J277" t="s">
        <v>532</v>
      </c>
      <c r="K277">
        <v>329.5</v>
      </c>
      <c r="L277">
        <v>0.71579555221379598</v>
      </c>
      <c r="M277">
        <v>0.74881161681581099</v>
      </c>
    </row>
    <row r="278" spans="2:13" x14ac:dyDescent="0.25">
      <c r="B278" t="s">
        <v>656</v>
      </c>
      <c r="C278" t="s">
        <v>678</v>
      </c>
      <c r="D278" t="s">
        <v>657</v>
      </c>
      <c r="E278">
        <v>6</v>
      </c>
      <c r="G278">
        <v>334</v>
      </c>
      <c r="H278">
        <v>334</v>
      </c>
      <c r="I278">
        <v>330</v>
      </c>
      <c r="J278" t="s">
        <v>532</v>
      </c>
      <c r="K278">
        <v>329.5</v>
      </c>
      <c r="L278">
        <v>0.78182768141782499</v>
      </c>
      <c r="M278">
        <v>0.74881161681581099</v>
      </c>
    </row>
    <row r="279" spans="2:13" x14ac:dyDescent="0.25">
      <c r="B279" t="s">
        <v>659</v>
      </c>
      <c r="C279" t="s">
        <v>678</v>
      </c>
      <c r="D279" t="s">
        <v>660</v>
      </c>
      <c r="E279">
        <v>6</v>
      </c>
      <c r="G279">
        <v>327</v>
      </c>
      <c r="H279">
        <v>327</v>
      </c>
      <c r="I279">
        <v>327</v>
      </c>
      <c r="J279" t="s">
        <v>532</v>
      </c>
      <c r="K279">
        <v>326.5</v>
      </c>
      <c r="L279">
        <v>0.73049469675995504</v>
      </c>
      <c r="M279">
        <v>0.72682084165392602</v>
      </c>
    </row>
    <row r="280" spans="2:13" x14ac:dyDescent="0.25">
      <c r="B280" t="s">
        <v>659</v>
      </c>
      <c r="C280" t="s">
        <v>678</v>
      </c>
      <c r="D280" t="s">
        <v>661</v>
      </c>
      <c r="E280">
        <v>6</v>
      </c>
      <c r="G280">
        <v>326</v>
      </c>
      <c r="H280">
        <v>326</v>
      </c>
      <c r="I280">
        <v>327</v>
      </c>
      <c r="J280" t="s">
        <v>532</v>
      </c>
      <c r="K280">
        <v>326.5</v>
      </c>
      <c r="L280">
        <v>0.723146986547898</v>
      </c>
      <c r="M280">
        <v>0.72682084165392602</v>
      </c>
    </row>
    <row r="281" spans="2:13" x14ac:dyDescent="0.25">
      <c r="B281" t="s">
        <v>662</v>
      </c>
      <c r="C281" t="s">
        <v>678</v>
      </c>
      <c r="D281" t="s">
        <v>663</v>
      </c>
      <c r="E281">
        <v>6</v>
      </c>
      <c r="G281">
        <v>7401</v>
      </c>
      <c r="H281">
        <v>7401</v>
      </c>
      <c r="I281">
        <v>7696</v>
      </c>
      <c r="J281" t="s">
        <v>532</v>
      </c>
      <c r="K281">
        <v>7695.5</v>
      </c>
      <c r="L281">
        <v>45.0139915498401</v>
      </c>
      <c r="M281">
        <v>46.772024415326499</v>
      </c>
    </row>
    <row r="282" spans="2:13" x14ac:dyDescent="0.25">
      <c r="B282" t="s">
        <v>662</v>
      </c>
      <c r="C282" t="s">
        <v>678</v>
      </c>
      <c r="D282" t="s">
        <v>664</v>
      </c>
      <c r="E282">
        <v>6</v>
      </c>
      <c r="G282">
        <v>7990</v>
      </c>
      <c r="H282">
        <v>7990</v>
      </c>
      <c r="I282">
        <v>7696</v>
      </c>
      <c r="J282" t="s">
        <v>532</v>
      </c>
      <c r="K282">
        <v>7695.5</v>
      </c>
      <c r="L282">
        <v>48.530057280812798</v>
      </c>
      <c r="M282">
        <v>46.772024415326499</v>
      </c>
    </row>
    <row r="283" spans="2:13" x14ac:dyDescent="0.25">
      <c r="B283" t="s">
        <v>665</v>
      </c>
      <c r="C283" t="s">
        <v>678</v>
      </c>
      <c r="D283" t="s">
        <v>667</v>
      </c>
      <c r="E283">
        <v>6</v>
      </c>
      <c r="G283">
        <v>11392</v>
      </c>
      <c r="H283">
        <v>11392</v>
      </c>
      <c r="I283">
        <v>11102</v>
      </c>
      <c r="J283" t="s">
        <v>532</v>
      </c>
      <c r="K283">
        <v>11101.5</v>
      </c>
      <c r="L283">
        <v>68.616350585786194</v>
      </c>
      <c r="M283">
        <v>66.912901537906706</v>
      </c>
    </row>
    <row r="284" spans="2:13" x14ac:dyDescent="0.25">
      <c r="B284" t="s">
        <v>665</v>
      </c>
      <c r="C284" t="s">
        <v>678</v>
      </c>
      <c r="D284" t="s">
        <v>666</v>
      </c>
      <c r="E284">
        <v>6</v>
      </c>
      <c r="G284">
        <v>10811</v>
      </c>
      <c r="H284">
        <v>10811</v>
      </c>
      <c r="I284">
        <v>11102</v>
      </c>
      <c r="J284" t="s">
        <v>532</v>
      </c>
      <c r="K284">
        <v>11101.5</v>
      </c>
      <c r="L284">
        <v>65.209452490027303</v>
      </c>
      <c r="M284">
        <v>66.912901537906706</v>
      </c>
    </row>
    <row r="285" spans="2:13" x14ac:dyDescent="0.25">
      <c r="B285" t="s">
        <v>668</v>
      </c>
      <c r="C285" t="s">
        <v>678</v>
      </c>
      <c r="D285" t="s">
        <v>670</v>
      </c>
      <c r="E285">
        <v>6</v>
      </c>
      <c r="G285">
        <v>22969</v>
      </c>
      <c r="H285">
        <v>22969</v>
      </c>
      <c r="I285">
        <v>24821</v>
      </c>
      <c r="J285" t="s">
        <v>532</v>
      </c>
      <c r="K285">
        <v>24820.5</v>
      </c>
      <c r="L285">
        <v>135.151295180533</v>
      </c>
      <c r="M285">
        <v>145.59580579873801</v>
      </c>
    </row>
    <row r="286" spans="2:13" x14ac:dyDescent="0.25">
      <c r="B286" t="s">
        <v>668</v>
      </c>
      <c r="C286" t="s">
        <v>678</v>
      </c>
      <c r="D286" t="s">
        <v>669</v>
      </c>
      <c r="E286">
        <v>6</v>
      </c>
      <c r="G286">
        <v>26672</v>
      </c>
      <c r="H286">
        <v>26672</v>
      </c>
      <c r="I286">
        <v>24821</v>
      </c>
      <c r="J286" t="s">
        <v>532</v>
      </c>
      <c r="K286">
        <v>24820.5</v>
      </c>
      <c r="L286">
        <v>156.040316416943</v>
      </c>
      <c r="M286">
        <v>145.59580579873801</v>
      </c>
    </row>
    <row r="287" spans="2:13" x14ac:dyDescent="0.25">
      <c r="B287" t="s">
        <v>671</v>
      </c>
      <c r="C287" t="s">
        <v>678</v>
      </c>
      <c r="D287" t="s">
        <v>672</v>
      </c>
      <c r="E287">
        <v>6</v>
      </c>
      <c r="G287">
        <v>338</v>
      </c>
      <c r="H287">
        <v>338</v>
      </c>
      <c r="I287">
        <v>347</v>
      </c>
      <c r="J287" t="s">
        <v>532</v>
      </c>
      <c r="K287">
        <v>347</v>
      </c>
      <c r="L287">
        <v>0.8110847534733</v>
      </c>
      <c r="M287">
        <v>0.87660178626812002</v>
      </c>
    </row>
    <row r="288" spans="2:13" x14ac:dyDescent="0.25">
      <c r="B288" t="s">
        <v>671</v>
      </c>
      <c r="C288" t="s">
        <v>678</v>
      </c>
      <c r="D288" t="s">
        <v>673</v>
      </c>
      <c r="E288">
        <v>6</v>
      </c>
      <c r="G288">
        <v>356</v>
      </c>
      <c r="H288">
        <v>356</v>
      </c>
      <c r="I288">
        <v>347</v>
      </c>
      <c r="J288" t="s">
        <v>532</v>
      </c>
      <c r="K288">
        <v>347</v>
      </c>
      <c r="L288">
        <v>0.94211881906293904</v>
      </c>
      <c r="M288">
        <v>0.87660178626812002</v>
      </c>
    </row>
    <row r="289" spans="2:13" x14ac:dyDescent="0.25">
      <c r="B289" t="s">
        <v>674</v>
      </c>
      <c r="C289" t="s">
        <v>678</v>
      </c>
      <c r="D289" t="s">
        <v>675</v>
      </c>
      <c r="E289">
        <v>6</v>
      </c>
      <c r="G289">
        <v>384</v>
      </c>
      <c r="H289">
        <v>384</v>
      </c>
      <c r="I289">
        <v>395</v>
      </c>
      <c r="J289" t="s">
        <v>532</v>
      </c>
      <c r="K289">
        <v>394.5</v>
      </c>
      <c r="L289">
        <v>1.1441945534181299</v>
      </c>
      <c r="M289">
        <v>1.2193818588754499</v>
      </c>
    </row>
    <row r="290" spans="2:13" x14ac:dyDescent="0.25">
      <c r="B290" t="s">
        <v>674</v>
      </c>
      <c r="C290" t="s">
        <v>678</v>
      </c>
      <c r="D290" t="s">
        <v>676</v>
      </c>
      <c r="E290">
        <v>6</v>
      </c>
      <c r="G290">
        <v>405</v>
      </c>
      <c r="H290">
        <v>405</v>
      </c>
      <c r="I290">
        <v>395</v>
      </c>
      <c r="J290" t="s">
        <v>532</v>
      </c>
      <c r="K290">
        <v>394.5</v>
      </c>
      <c r="L290">
        <v>1.2945691643327799</v>
      </c>
      <c r="M290">
        <v>1.2193818588754499</v>
      </c>
    </row>
    <row r="291" spans="2:13" x14ac:dyDescent="0.25">
      <c r="B291" t="s">
        <v>527</v>
      </c>
      <c r="C291" t="s">
        <v>679</v>
      </c>
      <c r="D291" t="s">
        <v>529</v>
      </c>
      <c r="E291">
        <v>7</v>
      </c>
      <c r="F291">
        <v>2320</v>
      </c>
      <c r="G291">
        <v>2342819</v>
      </c>
      <c r="H291">
        <v>2342819</v>
      </c>
      <c r="I291">
        <v>2358556</v>
      </c>
      <c r="J291" t="s">
        <v>532</v>
      </c>
      <c r="K291">
        <v>2358556</v>
      </c>
      <c r="L291">
        <v>2251.9999194215402</v>
      </c>
      <c r="M291">
        <v>2268.6068610850498</v>
      </c>
    </row>
    <row r="292" spans="2:13" x14ac:dyDescent="0.25">
      <c r="B292" t="s">
        <v>527</v>
      </c>
      <c r="C292" t="s">
        <v>679</v>
      </c>
      <c r="D292" t="s">
        <v>531</v>
      </c>
      <c r="E292">
        <v>7</v>
      </c>
      <c r="F292">
        <v>2320</v>
      </c>
      <c r="G292">
        <v>2374293</v>
      </c>
      <c r="H292">
        <v>2374293</v>
      </c>
      <c r="I292">
        <v>2358556</v>
      </c>
      <c r="J292" t="s">
        <v>532</v>
      </c>
      <c r="K292">
        <v>2358556</v>
      </c>
      <c r="L292">
        <v>2285.2138027485598</v>
      </c>
      <c r="M292">
        <v>2268.6068610850498</v>
      </c>
    </row>
    <row r="293" spans="2:13" x14ac:dyDescent="0.25">
      <c r="B293" t="s">
        <v>533</v>
      </c>
      <c r="C293" t="s">
        <v>679</v>
      </c>
      <c r="D293" t="s">
        <v>534</v>
      </c>
      <c r="E293">
        <v>7</v>
      </c>
      <c r="F293">
        <v>580</v>
      </c>
      <c r="G293">
        <v>665172</v>
      </c>
      <c r="H293">
        <v>665172</v>
      </c>
      <c r="I293">
        <v>666074</v>
      </c>
      <c r="J293" t="s">
        <v>532</v>
      </c>
      <c r="K293">
        <v>666073.5</v>
      </c>
      <c r="L293">
        <v>635.50115639952298</v>
      </c>
      <c r="M293">
        <v>636.31971041011604</v>
      </c>
    </row>
    <row r="294" spans="2:13" x14ac:dyDescent="0.25">
      <c r="B294" t="s">
        <v>533</v>
      </c>
      <c r="C294" t="s">
        <v>679</v>
      </c>
      <c r="D294" t="s">
        <v>535</v>
      </c>
      <c r="E294">
        <v>7</v>
      </c>
      <c r="F294">
        <v>580</v>
      </c>
      <c r="G294">
        <v>666975</v>
      </c>
      <c r="H294">
        <v>666975</v>
      </c>
      <c r="I294">
        <v>666074</v>
      </c>
      <c r="J294" t="s">
        <v>532</v>
      </c>
      <c r="K294">
        <v>666073.5</v>
      </c>
      <c r="L294">
        <v>637.13826442071002</v>
      </c>
      <c r="M294">
        <v>636.31971041011604</v>
      </c>
    </row>
    <row r="295" spans="2:13" x14ac:dyDescent="0.25">
      <c r="B295" t="s">
        <v>536</v>
      </c>
      <c r="C295" t="s">
        <v>679</v>
      </c>
      <c r="D295" t="s">
        <v>537</v>
      </c>
      <c r="E295">
        <v>7</v>
      </c>
      <c r="F295">
        <v>145</v>
      </c>
      <c r="G295">
        <v>132756</v>
      </c>
      <c r="H295">
        <v>132756</v>
      </c>
      <c r="I295">
        <v>137683</v>
      </c>
      <c r="J295" t="s">
        <v>532</v>
      </c>
      <c r="K295">
        <v>137682.5</v>
      </c>
      <c r="L295">
        <v>142.814864613656</v>
      </c>
      <c r="M295">
        <v>147.63981682685099</v>
      </c>
    </row>
    <row r="296" spans="2:13" x14ac:dyDescent="0.25">
      <c r="B296" t="s">
        <v>536</v>
      </c>
      <c r="C296" t="s">
        <v>679</v>
      </c>
      <c r="D296" t="s">
        <v>538</v>
      </c>
      <c r="E296">
        <v>7</v>
      </c>
      <c r="F296">
        <v>145</v>
      </c>
      <c r="G296">
        <v>142609</v>
      </c>
      <c r="H296">
        <v>142609</v>
      </c>
      <c r="I296">
        <v>137683</v>
      </c>
      <c r="J296" t="s">
        <v>532</v>
      </c>
      <c r="K296">
        <v>137682.5</v>
      </c>
      <c r="L296">
        <v>152.46476904004501</v>
      </c>
      <c r="M296">
        <v>147.63981682685099</v>
      </c>
    </row>
    <row r="297" spans="2:13" x14ac:dyDescent="0.25">
      <c r="B297" t="s">
        <v>539</v>
      </c>
      <c r="C297" t="s">
        <v>679</v>
      </c>
      <c r="D297" t="s">
        <v>540</v>
      </c>
      <c r="E297">
        <v>7</v>
      </c>
      <c r="F297">
        <v>36.25</v>
      </c>
      <c r="G297">
        <v>27302</v>
      </c>
      <c r="H297">
        <v>27302</v>
      </c>
      <c r="I297">
        <v>27152</v>
      </c>
      <c r="J297" t="s">
        <v>532</v>
      </c>
      <c r="K297">
        <v>27152</v>
      </c>
      <c r="L297">
        <v>33.8519171535862</v>
      </c>
      <c r="M297">
        <v>33.682484254445903</v>
      </c>
    </row>
    <row r="298" spans="2:13" x14ac:dyDescent="0.25">
      <c r="B298" t="s">
        <v>539</v>
      </c>
      <c r="C298" t="s">
        <v>679</v>
      </c>
      <c r="D298" t="s">
        <v>541</v>
      </c>
      <c r="E298">
        <v>7</v>
      </c>
      <c r="F298">
        <v>36.25</v>
      </c>
      <c r="G298">
        <v>27002</v>
      </c>
      <c r="H298">
        <v>27002</v>
      </c>
      <c r="I298">
        <v>27152</v>
      </c>
      <c r="J298" t="s">
        <v>532</v>
      </c>
      <c r="K298">
        <v>27152</v>
      </c>
      <c r="L298">
        <v>33.5130513553055</v>
      </c>
      <c r="M298">
        <v>33.682484254445903</v>
      </c>
    </row>
    <row r="299" spans="2:13" x14ac:dyDescent="0.25">
      <c r="B299" t="s">
        <v>542</v>
      </c>
      <c r="C299" t="s">
        <v>679</v>
      </c>
      <c r="D299" t="s">
        <v>544</v>
      </c>
      <c r="E299">
        <v>7</v>
      </c>
      <c r="F299">
        <v>9.0625</v>
      </c>
      <c r="G299">
        <v>5988</v>
      </c>
      <c r="H299">
        <v>5988</v>
      </c>
      <c r="I299">
        <v>6122</v>
      </c>
      <c r="J299" t="s">
        <v>532</v>
      </c>
      <c r="K299">
        <v>6122</v>
      </c>
      <c r="L299">
        <v>8.4094601222977605</v>
      </c>
      <c r="M299">
        <v>8.5843117981561701</v>
      </c>
    </row>
    <row r="300" spans="2:13" x14ac:dyDescent="0.25">
      <c r="B300" t="s">
        <v>542</v>
      </c>
      <c r="C300" t="s">
        <v>679</v>
      </c>
      <c r="D300" t="s">
        <v>543</v>
      </c>
      <c r="E300">
        <v>7</v>
      </c>
      <c r="F300">
        <v>9.0625</v>
      </c>
      <c r="G300">
        <v>6256</v>
      </c>
      <c r="H300">
        <v>6256</v>
      </c>
      <c r="I300">
        <v>6122</v>
      </c>
      <c r="J300" t="s">
        <v>532</v>
      </c>
      <c r="K300">
        <v>6122</v>
      </c>
      <c r="L300">
        <v>8.7591634740145707</v>
      </c>
      <c r="M300">
        <v>8.5843117981561701</v>
      </c>
    </row>
    <row r="301" spans="2:13" x14ac:dyDescent="0.25">
      <c r="B301" t="s">
        <v>545</v>
      </c>
      <c r="C301" t="s">
        <v>679</v>
      </c>
      <c r="D301" t="s">
        <v>546</v>
      </c>
      <c r="E301">
        <v>7</v>
      </c>
      <c r="F301">
        <v>2.265625</v>
      </c>
      <c r="G301">
        <v>1547</v>
      </c>
      <c r="H301">
        <v>1547</v>
      </c>
      <c r="I301">
        <v>1574</v>
      </c>
      <c r="J301" t="s">
        <v>532</v>
      </c>
      <c r="K301">
        <v>1574</v>
      </c>
      <c r="L301">
        <v>2.27690015828296</v>
      </c>
      <c r="M301">
        <v>2.3174476981596799</v>
      </c>
    </row>
    <row r="302" spans="2:13" x14ac:dyDescent="0.25">
      <c r="B302" t="s">
        <v>545</v>
      </c>
      <c r="C302" t="s">
        <v>679</v>
      </c>
      <c r="D302" t="s">
        <v>547</v>
      </c>
      <c r="E302">
        <v>7</v>
      </c>
      <c r="F302">
        <v>2.265625</v>
      </c>
      <c r="G302">
        <v>1601</v>
      </c>
      <c r="H302">
        <v>1601</v>
      </c>
      <c r="I302">
        <v>1574</v>
      </c>
      <c r="J302" t="s">
        <v>532</v>
      </c>
      <c r="K302">
        <v>1574</v>
      </c>
      <c r="L302">
        <v>2.35799523803639</v>
      </c>
      <c r="M302">
        <v>2.3174476981596799</v>
      </c>
    </row>
    <row r="303" spans="2:13" x14ac:dyDescent="0.25">
      <c r="B303" t="s">
        <v>548</v>
      </c>
      <c r="C303" t="s">
        <v>679</v>
      </c>
      <c r="D303" t="s">
        <v>550</v>
      </c>
      <c r="E303">
        <v>7</v>
      </c>
      <c r="F303">
        <v>0.56640625</v>
      </c>
      <c r="G303">
        <v>508</v>
      </c>
      <c r="H303">
        <v>508</v>
      </c>
      <c r="I303">
        <v>521</v>
      </c>
      <c r="J303" t="s">
        <v>532</v>
      </c>
      <c r="K303">
        <v>520.5</v>
      </c>
      <c r="L303">
        <v>0.62654417501827198</v>
      </c>
      <c r="M303">
        <v>0.64807840974617503</v>
      </c>
    </row>
    <row r="304" spans="2:13" x14ac:dyDescent="0.25">
      <c r="B304" t="s">
        <v>548</v>
      </c>
      <c r="C304" t="s">
        <v>679</v>
      </c>
      <c r="D304" t="s">
        <v>549</v>
      </c>
      <c r="E304">
        <v>7</v>
      </c>
      <c r="F304">
        <v>0.56640625</v>
      </c>
      <c r="G304">
        <v>533</v>
      </c>
      <c r="H304">
        <v>533</v>
      </c>
      <c r="I304">
        <v>521</v>
      </c>
      <c r="J304" t="s">
        <v>532</v>
      </c>
      <c r="K304">
        <v>520.5</v>
      </c>
      <c r="L304">
        <v>0.66961264447407698</v>
      </c>
      <c r="M304">
        <v>0.64807840974617503</v>
      </c>
    </row>
    <row r="305" spans="2:13" x14ac:dyDescent="0.25">
      <c r="B305" t="s">
        <v>551</v>
      </c>
      <c r="C305" t="s">
        <v>679</v>
      </c>
      <c r="D305" t="s">
        <v>552</v>
      </c>
      <c r="E305">
        <v>7</v>
      </c>
      <c r="F305">
        <v>0</v>
      </c>
      <c r="G305">
        <v>180</v>
      </c>
      <c r="H305">
        <v>180</v>
      </c>
      <c r="I305">
        <v>176</v>
      </c>
      <c r="J305" t="s">
        <v>553</v>
      </c>
      <c r="K305">
        <v>175.5</v>
      </c>
      <c r="L305" t="s">
        <v>554</v>
      </c>
      <c r="M305" t="s">
        <v>554</v>
      </c>
    </row>
    <row r="306" spans="2:13" x14ac:dyDescent="0.25">
      <c r="B306" t="s">
        <v>551</v>
      </c>
      <c r="C306" t="s">
        <v>679</v>
      </c>
      <c r="D306" t="s">
        <v>555</v>
      </c>
      <c r="E306">
        <v>7</v>
      </c>
      <c r="F306">
        <v>0</v>
      </c>
      <c r="G306">
        <v>171</v>
      </c>
      <c r="H306">
        <v>171</v>
      </c>
      <c r="I306">
        <v>176</v>
      </c>
      <c r="J306" t="s">
        <v>553</v>
      </c>
      <c r="K306">
        <v>175.5</v>
      </c>
      <c r="L306" t="s">
        <v>554</v>
      </c>
      <c r="M306" t="s">
        <v>554</v>
      </c>
    </row>
    <row r="307" spans="2:13" x14ac:dyDescent="0.25">
      <c r="B307" t="s">
        <v>557</v>
      </c>
      <c r="C307" t="s">
        <v>679</v>
      </c>
      <c r="D307" t="s">
        <v>559</v>
      </c>
      <c r="E307">
        <v>7</v>
      </c>
      <c r="G307">
        <v>92099</v>
      </c>
      <c r="H307">
        <v>92099</v>
      </c>
      <c r="I307">
        <v>90901</v>
      </c>
      <c r="J307" t="s">
        <v>532</v>
      </c>
      <c r="K307">
        <v>90901</v>
      </c>
      <c r="L307">
        <v>102.326798483196</v>
      </c>
      <c r="M307">
        <v>101.113255049107</v>
      </c>
    </row>
    <row r="308" spans="2:13" x14ac:dyDescent="0.25">
      <c r="B308" t="s">
        <v>557</v>
      </c>
      <c r="C308" t="s">
        <v>679</v>
      </c>
      <c r="D308" t="s">
        <v>558</v>
      </c>
      <c r="E308">
        <v>7</v>
      </c>
      <c r="G308">
        <v>89703</v>
      </c>
      <c r="H308">
        <v>89703</v>
      </c>
      <c r="I308">
        <v>90901</v>
      </c>
      <c r="J308" t="s">
        <v>532</v>
      </c>
      <c r="K308">
        <v>90901</v>
      </c>
      <c r="L308">
        <v>99.899711615018205</v>
      </c>
      <c r="M308">
        <v>101.113255049107</v>
      </c>
    </row>
    <row r="309" spans="2:13" x14ac:dyDescent="0.25">
      <c r="B309" t="s">
        <v>560</v>
      </c>
      <c r="C309" t="s">
        <v>679</v>
      </c>
      <c r="D309" t="s">
        <v>561</v>
      </c>
      <c r="E309">
        <v>7</v>
      </c>
      <c r="G309">
        <v>4603</v>
      </c>
      <c r="H309">
        <v>4603</v>
      </c>
      <c r="I309">
        <v>4493</v>
      </c>
      <c r="J309" t="s">
        <v>532</v>
      </c>
      <c r="K309">
        <v>4493</v>
      </c>
      <c r="L309">
        <v>6.57530937330184</v>
      </c>
      <c r="M309">
        <v>6.4272599931804102</v>
      </c>
    </row>
    <row r="310" spans="2:13" x14ac:dyDescent="0.25">
      <c r="B310" t="s">
        <v>560</v>
      </c>
      <c r="C310" t="s">
        <v>679</v>
      </c>
      <c r="D310" t="s">
        <v>562</v>
      </c>
      <c r="E310">
        <v>7</v>
      </c>
      <c r="G310">
        <v>4383</v>
      </c>
      <c r="H310">
        <v>4383</v>
      </c>
      <c r="I310">
        <v>4493</v>
      </c>
      <c r="J310" t="s">
        <v>532</v>
      </c>
      <c r="K310">
        <v>4493</v>
      </c>
      <c r="L310">
        <v>6.2792106130589804</v>
      </c>
      <c r="M310">
        <v>6.4272599931804102</v>
      </c>
    </row>
    <row r="311" spans="2:13" x14ac:dyDescent="0.25">
      <c r="B311" t="s">
        <v>563</v>
      </c>
      <c r="C311" t="s">
        <v>679</v>
      </c>
      <c r="D311" t="s">
        <v>565</v>
      </c>
      <c r="E311">
        <v>7</v>
      </c>
      <c r="G311">
        <v>33918</v>
      </c>
      <c r="H311">
        <v>33918</v>
      </c>
      <c r="I311">
        <v>35863</v>
      </c>
      <c r="J311" t="s">
        <v>532</v>
      </c>
      <c r="K311">
        <v>35862.5</v>
      </c>
      <c r="L311">
        <v>41.242993772468999</v>
      </c>
      <c r="M311">
        <v>43.3831553290158</v>
      </c>
    </row>
    <row r="312" spans="2:13" x14ac:dyDescent="0.25">
      <c r="B312" t="s">
        <v>563</v>
      </c>
      <c r="C312" t="s">
        <v>679</v>
      </c>
      <c r="D312" t="s">
        <v>564</v>
      </c>
      <c r="E312">
        <v>7</v>
      </c>
      <c r="G312">
        <v>37807</v>
      </c>
      <c r="H312">
        <v>37807</v>
      </c>
      <c r="I312">
        <v>35863</v>
      </c>
      <c r="J312" t="s">
        <v>532</v>
      </c>
      <c r="K312">
        <v>35862.5</v>
      </c>
      <c r="L312">
        <v>45.5233168855626</v>
      </c>
      <c r="M312">
        <v>43.3831553290158</v>
      </c>
    </row>
    <row r="313" spans="2:13" x14ac:dyDescent="0.25">
      <c r="B313" t="s">
        <v>566</v>
      </c>
      <c r="C313" t="s">
        <v>679</v>
      </c>
      <c r="D313" t="s">
        <v>568</v>
      </c>
      <c r="E313">
        <v>7</v>
      </c>
      <c r="G313">
        <v>2379</v>
      </c>
      <c r="H313">
        <v>2379</v>
      </c>
      <c r="I313">
        <v>2561</v>
      </c>
      <c r="J313" t="s">
        <v>532</v>
      </c>
      <c r="K313">
        <v>2560.5</v>
      </c>
      <c r="L313">
        <v>3.4980315162036102</v>
      </c>
      <c r="M313">
        <v>3.7568199268076201</v>
      </c>
    </row>
    <row r="314" spans="2:13" x14ac:dyDescent="0.25">
      <c r="B314" t="s">
        <v>566</v>
      </c>
      <c r="C314" t="s">
        <v>679</v>
      </c>
      <c r="D314" t="s">
        <v>567</v>
      </c>
      <c r="E314">
        <v>7</v>
      </c>
      <c r="G314">
        <v>2742</v>
      </c>
      <c r="H314">
        <v>2742</v>
      </c>
      <c r="I314">
        <v>2561</v>
      </c>
      <c r="J314" t="s">
        <v>532</v>
      </c>
      <c r="K314">
        <v>2560.5</v>
      </c>
      <c r="L314">
        <v>4.0156083374116296</v>
      </c>
      <c r="M314">
        <v>3.7568199268076201</v>
      </c>
    </row>
    <row r="315" spans="2:13" x14ac:dyDescent="0.25">
      <c r="B315" t="s">
        <v>569</v>
      </c>
      <c r="C315" t="s">
        <v>679</v>
      </c>
      <c r="D315" t="s">
        <v>570</v>
      </c>
      <c r="E315">
        <v>7</v>
      </c>
      <c r="G315">
        <v>267</v>
      </c>
      <c r="H315">
        <v>267</v>
      </c>
      <c r="I315">
        <v>279</v>
      </c>
      <c r="J315" t="s">
        <v>532</v>
      </c>
      <c r="K315">
        <v>279</v>
      </c>
      <c r="L315">
        <v>0.18780956057459799</v>
      </c>
      <c r="M315">
        <v>0.21114363138098799</v>
      </c>
    </row>
    <row r="316" spans="2:13" x14ac:dyDescent="0.25">
      <c r="B316" t="s">
        <v>569</v>
      </c>
      <c r="C316" t="s">
        <v>679</v>
      </c>
      <c r="D316" t="s">
        <v>571</v>
      </c>
      <c r="E316">
        <v>7</v>
      </c>
      <c r="G316">
        <v>291</v>
      </c>
      <c r="H316">
        <v>291</v>
      </c>
      <c r="I316">
        <v>279</v>
      </c>
      <c r="J316" t="s">
        <v>532</v>
      </c>
      <c r="K316">
        <v>279</v>
      </c>
      <c r="L316">
        <v>0.23447770218737801</v>
      </c>
      <c r="M316">
        <v>0.21114363138098799</v>
      </c>
    </row>
    <row r="317" spans="2:13" x14ac:dyDescent="0.25">
      <c r="B317" t="s">
        <v>572</v>
      </c>
      <c r="C317" t="s">
        <v>679</v>
      </c>
      <c r="D317" t="s">
        <v>573</v>
      </c>
      <c r="E317">
        <v>7</v>
      </c>
      <c r="G317">
        <v>165795</v>
      </c>
      <c r="H317">
        <v>165795</v>
      </c>
      <c r="I317">
        <v>166761</v>
      </c>
      <c r="J317" t="s">
        <v>532</v>
      </c>
      <c r="K317">
        <v>166760.5</v>
      </c>
      <c r="L317">
        <v>174.97880950806999</v>
      </c>
      <c r="M317">
        <v>175.91080319996601</v>
      </c>
    </row>
    <row r="318" spans="2:13" x14ac:dyDescent="0.25">
      <c r="B318" t="s">
        <v>572</v>
      </c>
      <c r="C318" t="s">
        <v>679</v>
      </c>
      <c r="D318" t="s">
        <v>574</v>
      </c>
      <c r="E318">
        <v>7</v>
      </c>
      <c r="G318">
        <v>167726</v>
      </c>
      <c r="H318">
        <v>167726</v>
      </c>
      <c r="I318">
        <v>166761</v>
      </c>
      <c r="J318" t="s">
        <v>532</v>
      </c>
      <c r="K318">
        <v>166760.5</v>
      </c>
      <c r="L318">
        <v>176.84279689186201</v>
      </c>
      <c r="M318">
        <v>175.91080319996601</v>
      </c>
    </row>
    <row r="319" spans="2:13" x14ac:dyDescent="0.25">
      <c r="B319" t="s">
        <v>575</v>
      </c>
      <c r="C319" t="s">
        <v>679</v>
      </c>
      <c r="D319" t="s">
        <v>576</v>
      </c>
      <c r="E319">
        <v>7</v>
      </c>
      <c r="G319">
        <v>206207</v>
      </c>
      <c r="H319">
        <v>206207</v>
      </c>
      <c r="I319">
        <v>206540</v>
      </c>
      <c r="J319" t="s">
        <v>532</v>
      </c>
      <c r="K319">
        <v>206539.5</v>
      </c>
      <c r="L319">
        <v>213.69104859170599</v>
      </c>
      <c r="M319">
        <v>214.007205925243</v>
      </c>
    </row>
    <row r="320" spans="2:13" x14ac:dyDescent="0.25">
      <c r="B320" t="s">
        <v>575</v>
      </c>
      <c r="C320" t="s">
        <v>679</v>
      </c>
      <c r="D320" t="s">
        <v>577</v>
      </c>
      <c r="E320">
        <v>7</v>
      </c>
      <c r="G320">
        <v>206872</v>
      </c>
      <c r="H320">
        <v>206872</v>
      </c>
      <c r="I320">
        <v>206540</v>
      </c>
      <c r="J320" t="s">
        <v>532</v>
      </c>
      <c r="K320">
        <v>206539.5</v>
      </c>
      <c r="L320">
        <v>214.32336325878001</v>
      </c>
      <c r="M320">
        <v>214.007205925243</v>
      </c>
    </row>
    <row r="321" spans="2:13" x14ac:dyDescent="0.25">
      <c r="B321" t="s">
        <v>578</v>
      </c>
      <c r="C321" t="s">
        <v>679</v>
      </c>
      <c r="D321" t="s">
        <v>580</v>
      </c>
      <c r="E321">
        <v>7</v>
      </c>
      <c r="G321">
        <v>8546</v>
      </c>
      <c r="H321">
        <v>8546</v>
      </c>
      <c r="I321">
        <v>10200</v>
      </c>
      <c r="J321" t="s">
        <v>532</v>
      </c>
      <c r="K321">
        <v>10200</v>
      </c>
      <c r="L321">
        <v>11.6929493826695</v>
      </c>
      <c r="M321">
        <v>13.7463192644672</v>
      </c>
    </row>
    <row r="322" spans="2:13" x14ac:dyDescent="0.25">
      <c r="B322" t="s">
        <v>578</v>
      </c>
      <c r="C322" t="s">
        <v>679</v>
      </c>
      <c r="D322" t="s">
        <v>579</v>
      </c>
      <c r="E322">
        <v>7</v>
      </c>
      <c r="G322">
        <v>11854</v>
      </c>
      <c r="H322">
        <v>11854</v>
      </c>
      <c r="I322">
        <v>10200</v>
      </c>
      <c r="J322" t="s">
        <v>532</v>
      </c>
      <c r="K322">
        <v>10200</v>
      </c>
      <c r="L322">
        <v>15.7996891462649</v>
      </c>
      <c r="M322">
        <v>13.7463192644672</v>
      </c>
    </row>
    <row r="323" spans="2:13" x14ac:dyDescent="0.25">
      <c r="B323" t="s">
        <v>581</v>
      </c>
      <c r="C323" t="s">
        <v>679</v>
      </c>
      <c r="D323" t="s">
        <v>582</v>
      </c>
      <c r="E323">
        <v>7</v>
      </c>
      <c r="G323">
        <v>7725</v>
      </c>
      <c r="H323">
        <v>7725</v>
      </c>
      <c r="I323">
        <v>7777</v>
      </c>
      <c r="J323" t="s">
        <v>532</v>
      </c>
      <c r="K323">
        <v>7776.5</v>
      </c>
      <c r="L323">
        <v>10.6513262689991</v>
      </c>
      <c r="M323">
        <v>10.716953585173799</v>
      </c>
    </row>
    <row r="324" spans="2:13" x14ac:dyDescent="0.25">
      <c r="B324" t="s">
        <v>581</v>
      </c>
      <c r="C324" t="s">
        <v>679</v>
      </c>
      <c r="D324" t="s">
        <v>583</v>
      </c>
      <c r="E324">
        <v>7</v>
      </c>
      <c r="G324">
        <v>7828</v>
      </c>
      <c r="H324">
        <v>7828</v>
      </c>
      <c r="I324">
        <v>7777</v>
      </c>
      <c r="J324" t="s">
        <v>532</v>
      </c>
      <c r="K324">
        <v>7776.5</v>
      </c>
      <c r="L324">
        <v>10.7825809013486</v>
      </c>
      <c r="M324">
        <v>10.716953585173799</v>
      </c>
    </row>
    <row r="325" spans="2:13" x14ac:dyDescent="0.25">
      <c r="B325" t="s">
        <v>584</v>
      </c>
      <c r="C325" t="s">
        <v>679</v>
      </c>
      <c r="D325" t="s">
        <v>586</v>
      </c>
      <c r="E325">
        <v>7</v>
      </c>
      <c r="G325">
        <v>297804</v>
      </c>
      <c r="H325">
        <v>297804</v>
      </c>
      <c r="I325">
        <v>296719</v>
      </c>
      <c r="J325" t="s">
        <v>532</v>
      </c>
      <c r="K325">
        <v>296719</v>
      </c>
      <c r="L325">
        <v>299.72954333738301</v>
      </c>
      <c r="M325">
        <v>298.72047744414499</v>
      </c>
    </row>
    <row r="326" spans="2:13" x14ac:dyDescent="0.25">
      <c r="B326" t="s">
        <v>584</v>
      </c>
      <c r="C326" t="s">
        <v>679</v>
      </c>
      <c r="D326" t="s">
        <v>585</v>
      </c>
      <c r="E326">
        <v>7</v>
      </c>
      <c r="G326">
        <v>295634</v>
      </c>
      <c r="H326">
        <v>295634</v>
      </c>
      <c r="I326">
        <v>296719</v>
      </c>
      <c r="J326" t="s">
        <v>532</v>
      </c>
      <c r="K326">
        <v>296719</v>
      </c>
      <c r="L326">
        <v>297.71141155090697</v>
      </c>
      <c r="M326">
        <v>298.72047744414499</v>
      </c>
    </row>
    <row r="327" spans="2:13" x14ac:dyDescent="0.25">
      <c r="B327" t="s">
        <v>587</v>
      </c>
      <c r="C327" t="s">
        <v>679</v>
      </c>
      <c r="D327" t="s">
        <v>589</v>
      </c>
      <c r="E327">
        <v>7</v>
      </c>
      <c r="G327">
        <v>81097</v>
      </c>
      <c r="H327">
        <v>81097</v>
      </c>
      <c r="I327">
        <v>78093</v>
      </c>
      <c r="J327" t="s">
        <v>532</v>
      </c>
      <c r="K327">
        <v>78093</v>
      </c>
      <c r="L327">
        <v>91.135381503126993</v>
      </c>
      <c r="M327">
        <v>88.052599237155604</v>
      </c>
    </row>
    <row r="328" spans="2:13" x14ac:dyDescent="0.25">
      <c r="B328" t="s">
        <v>587</v>
      </c>
      <c r="C328" t="s">
        <v>679</v>
      </c>
      <c r="D328" t="s">
        <v>588</v>
      </c>
      <c r="E328">
        <v>7</v>
      </c>
      <c r="G328">
        <v>75089</v>
      </c>
      <c r="H328">
        <v>75089</v>
      </c>
      <c r="I328">
        <v>78093</v>
      </c>
      <c r="J328" t="s">
        <v>532</v>
      </c>
      <c r="K328">
        <v>78093</v>
      </c>
      <c r="L328">
        <v>84.969816971184201</v>
      </c>
      <c r="M328">
        <v>88.052599237155604</v>
      </c>
    </row>
    <row r="329" spans="2:13" x14ac:dyDescent="0.25">
      <c r="B329" t="s">
        <v>590</v>
      </c>
      <c r="C329" t="s">
        <v>679</v>
      </c>
      <c r="D329" t="s">
        <v>591</v>
      </c>
      <c r="E329">
        <v>7</v>
      </c>
      <c r="G329">
        <v>695447</v>
      </c>
      <c r="H329">
        <v>695447</v>
      </c>
      <c r="I329">
        <v>709399</v>
      </c>
      <c r="J329" t="s">
        <v>532</v>
      </c>
      <c r="K329">
        <v>709398.5</v>
      </c>
      <c r="L329">
        <v>662.99313615973199</v>
      </c>
      <c r="M329">
        <v>675.66605861951098</v>
      </c>
    </row>
    <row r="330" spans="2:13" x14ac:dyDescent="0.25">
      <c r="B330" t="s">
        <v>590</v>
      </c>
      <c r="C330" t="s">
        <v>679</v>
      </c>
      <c r="D330" t="s">
        <v>592</v>
      </c>
      <c r="E330">
        <v>7</v>
      </c>
      <c r="G330">
        <v>723350</v>
      </c>
      <c r="H330">
        <v>723350</v>
      </c>
      <c r="I330">
        <v>709399</v>
      </c>
      <c r="J330" t="s">
        <v>532</v>
      </c>
      <c r="K330">
        <v>709398.5</v>
      </c>
      <c r="L330">
        <v>688.33898107928906</v>
      </c>
      <c r="M330">
        <v>675.66605861951098</v>
      </c>
    </row>
    <row r="331" spans="2:13" x14ac:dyDescent="0.25">
      <c r="B331" t="s">
        <v>593</v>
      </c>
      <c r="C331" t="s">
        <v>679</v>
      </c>
      <c r="D331" t="s">
        <v>595</v>
      </c>
      <c r="E331">
        <v>7</v>
      </c>
      <c r="G331">
        <v>280373</v>
      </c>
      <c r="H331">
        <v>280373</v>
      </c>
      <c r="I331">
        <v>263912</v>
      </c>
      <c r="J331" t="s">
        <v>532</v>
      </c>
      <c r="K331">
        <v>263911.5</v>
      </c>
      <c r="L331">
        <v>283.49513639406001</v>
      </c>
      <c r="M331">
        <v>268.08295208943798</v>
      </c>
    </row>
    <row r="332" spans="2:13" x14ac:dyDescent="0.25">
      <c r="B332" t="s">
        <v>593</v>
      </c>
      <c r="C332" t="s">
        <v>679</v>
      </c>
      <c r="D332" t="s">
        <v>594</v>
      </c>
      <c r="E332">
        <v>7</v>
      </c>
      <c r="G332">
        <v>247450</v>
      </c>
      <c r="H332">
        <v>247450</v>
      </c>
      <c r="I332">
        <v>263912</v>
      </c>
      <c r="J332" t="s">
        <v>532</v>
      </c>
      <c r="K332">
        <v>263911.5</v>
      </c>
      <c r="L332">
        <v>252.67076778481601</v>
      </c>
      <c r="M332">
        <v>268.08295208943798</v>
      </c>
    </row>
    <row r="333" spans="2:13" x14ac:dyDescent="0.25">
      <c r="B333" t="s">
        <v>596</v>
      </c>
      <c r="C333" t="s">
        <v>679</v>
      </c>
      <c r="D333" t="s">
        <v>598</v>
      </c>
      <c r="E333">
        <v>7</v>
      </c>
      <c r="G333">
        <v>156551</v>
      </c>
      <c r="H333">
        <v>156551</v>
      </c>
      <c r="I333">
        <v>168357</v>
      </c>
      <c r="J333" t="s">
        <v>532</v>
      </c>
      <c r="K333">
        <v>168357</v>
      </c>
      <c r="L333">
        <v>166.03303859103701</v>
      </c>
      <c r="M333">
        <v>177.42234115760101</v>
      </c>
    </row>
    <row r="334" spans="2:13" x14ac:dyDescent="0.25">
      <c r="B334" t="s">
        <v>596</v>
      </c>
      <c r="C334" t="s">
        <v>679</v>
      </c>
      <c r="D334" t="s">
        <v>597</v>
      </c>
      <c r="E334">
        <v>7</v>
      </c>
      <c r="G334">
        <v>180163</v>
      </c>
      <c r="H334">
        <v>180163</v>
      </c>
      <c r="I334">
        <v>168357</v>
      </c>
      <c r="J334" t="s">
        <v>532</v>
      </c>
      <c r="K334">
        <v>168357</v>
      </c>
      <c r="L334">
        <v>188.81164372416501</v>
      </c>
      <c r="M334">
        <v>177.42234115760101</v>
      </c>
    </row>
    <row r="335" spans="2:13" x14ac:dyDescent="0.25">
      <c r="B335" t="s">
        <v>599</v>
      </c>
      <c r="C335" t="s">
        <v>679</v>
      </c>
      <c r="D335" t="s">
        <v>600</v>
      </c>
      <c r="E335">
        <v>7</v>
      </c>
      <c r="G335">
        <v>652609</v>
      </c>
      <c r="H335">
        <v>652609</v>
      </c>
      <c r="I335">
        <v>647022</v>
      </c>
      <c r="J335" t="s">
        <v>532</v>
      </c>
      <c r="K335">
        <v>647022</v>
      </c>
      <c r="L335">
        <v>624.09432935264203</v>
      </c>
      <c r="M335">
        <v>619.02157423532196</v>
      </c>
    </row>
    <row r="336" spans="2:13" x14ac:dyDescent="0.25">
      <c r="B336" t="s">
        <v>599</v>
      </c>
      <c r="C336" t="s">
        <v>679</v>
      </c>
      <c r="D336" t="s">
        <v>601</v>
      </c>
      <c r="E336">
        <v>7</v>
      </c>
      <c r="G336">
        <v>641435</v>
      </c>
      <c r="H336">
        <v>641435</v>
      </c>
      <c r="I336">
        <v>647022</v>
      </c>
      <c r="J336" t="s">
        <v>532</v>
      </c>
      <c r="K336">
        <v>647022</v>
      </c>
      <c r="L336">
        <v>613.94881911800303</v>
      </c>
      <c r="M336">
        <v>619.02157423532196</v>
      </c>
    </row>
    <row r="337" spans="2:13" x14ac:dyDescent="0.25">
      <c r="B337" t="s">
        <v>602</v>
      </c>
      <c r="C337" t="s">
        <v>679</v>
      </c>
      <c r="D337" t="s">
        <v>603</v>
      </c>
      <c r="E337">
        <v>7</v>
      </c>
      <c r="G337">
        <v>11964</v>
      </c>
      <c r="H337">
        <v>11964</v>
      </c>
      <c r="I337">
        <v>12198</v>
      </c>
      <c r="J337" t="s">
        <v>532</v>
      </c>
      <c r="K337">
        <v>12197.5</v>
      </c>
      <c r="L337">
        <v>15.9341389159308</v>
      </c>
      <c r="M337">
        <v>16.218878275513902</v>
      </c>
    </row>
    <row r="338" spans="2:13" x14ac:dyDescent="0.25">
      <c r="B338" t="s">
        <v>602</v>
      </c>
      <c r="C338" t="s">
        <v>679</v>
      </c>
      <c r="D338" t="s">
        <v>604</v>
      </c>
      <c r="E338">
        <v>7</v>
      </c>
      <c r="G338">
        <v>12431</v>
      </c>
      <c r="H338">
        <v>12431</v>
      </c>
      <c r="I338">
        <v>12198</v>
      </c>
      <c r="J338" t="s">
        <v>532</v>
      </c>
      <c r="K338">
        <v>12197.5</v>
      </c>
      <c r="L338">
        <v>16.503617635097001</v>
      </c>
      <c r="M338">
        <v>16.218878275513902</v>
      </c>
    </row>
    <row r="339" spans="2:13" x14ac:dyDescent="0.25">
      <c r="B339" t="s">
        <v>605</v>
      </c>
      <c r="C339" t="s">
        <v>679</v>
      </c>
      <c r="D339" t="s">
        <v>606</v>
      </c>
      <c r="E339">
        <v>7</v>
      </c>
      <c r="G339">
        <v>162609</v>
      </c>
      <c r="H339">
        <v>162609</v>
      </c>
      <c r="I339">
        <v>147520</v>
      </c>
      <c r="J339" t="s">
        <v>532</v>
      </c>
      <c r="K339">
        <v>147519.5</v>
      </c>
      <c r="L339">
        <v>171.89987484115599</v>
      </c>
      <c r="M339">
        <v>157.197263618992</v>
      </c>
    </row>
    <row r="340" spans="2:13" x14ac:dyDescent="0.25">
      <c r="B340" t="s">
        <v>605</v>
      </c>
      <c r="C340" t="s">
        <v>679</v>
      </c>
      <c r="D340" t="s">
        <v>607</v>
      </c>
      <c r="E340">
        <v>7</v>
      </c>
      <c r="G340">
        <v>132430</v>
      </c>
      <c r="H340">
        <v>132430</v>
      </c>
      <c r="I340">
        <v>147520</v>
      </c>
      <c r="J340" t="s">
        <v>532</v>
      </c>
      <c r="K340">
        <v>147519.5</v>
      </c>
      <c r="L340">
        <v>142.494652396828</v>
      </c>
      <c r="M340">
        <v>157.197263618992</v>
      </c>
    </row>
    <row r="341" spans="2:13" x14ac:dyDescent="0.25">
      <c r="B341" t="s">
        <v>608</v>
      </c>
      <c r="C341" t="s">
        <v>679</v>
      </c>
      <c r="D341" t="s">
        <v>609</v>
      </c>
      <c r="E341">
        <v>7</v>
      </c>
      <c r="G341">
        <v>82878</v>
      </c>
      <c r="H341">
        <v>82878</v>
      </c>
      <c r="I341">
        <v>81147</v>
      </c>
      <c r="J341" t="s">
        <v>532</v>
      </c>
      <c r="K341">
        <v>81146.5</v>
      </c>
      <c r="L341">
        <v>92.955407100822597</v>
      </c>
      <c r="M341">
        <v>91.184389015244193</v>
      </c>
    </row>
    <row r="342" spans="2:13" x14ac:dyDescent="0.25">
      <c r="B342" t="s">
        <v>608</v>
      </c>
      <c r="C342" t="s">
        <v>679</v>
      </c>
      <c r="D342" t="s">
        <v>610</v>
      </c>
      <c r="E342">
        <v>7</v>
      </c>
      <c r="G342">
        <v>79415</v>
      </c>
      <c r="H342">
        <v>79415</v>
      </c>
      <c r="I342">
        <v>81147</v>
      </c>
      <c r="J342" t="s">
        <v>532</v>
      </c>
      <c r="K342">
        <v>81146.5</v>
      </c>
      <c r="L342">
        <v>89.413370929665803</v>
      </c>
      <c r="M342">
        <v>91.184389015244193</v>
      </c>
    </row>
    <row r="343" spans="2:13" x14ac:dyDescent="0.25">
      <c r="B343" t="s">
        <v>611</v>
      </c>
      <c r="C343" t="s">
        <v>679</v>
      </c>
      <c r="D343" t="s">
        <v>612</v>
      </c>
      <c r="E343">
        <v>7</v>
      </c>
      <c r="G343">
        <v>242984</v>
      </c>
      <c r="H343">
        <v>242984</v>
      </c>
      <c r="I343">
        <v>243011</v>
      </c>
      <c r="J343" t="s">
        <v>532</v>
      </c>
      <c r="K343">
        <v>243010.5</v>
      </c>
      <c r="L343">
        <v>248.47114195414301</v>
      </c>
      <c r="M343">
        <v>248.49607526936401</v>
      </c>
    </row>
    <row r="344" spans="2:13" x14ac:dyDescent="0.25">
      <c r="B344" t="s">
        <v>611</v>
      </c>
      <c r="C344" t="s">
        <v>679</v>
      </c>
      <c r="D344" t="s">
        <v>613</v>
      </c>
      <c r="E344">
        <v>7</v>
      </c>
      <c r="G344">
        <v>243037</v>
      </c>
      <c r="H344">
        <v>243037</v>
      </c>
      <c r="I344">
        <v>243011</v>
      </c>
      <c r="J344" t="s">
        <v>532</v>
      </c>
      <c r="K344">
        <v>243010.5</v>
      </c>
      <c r="L344">
        <v>248.52100858458601</v>
      </c>
      <c r="M344">
        <v>248.49607526936401</v>
      </c>
    </row>
    <row r="345" spans="2:13" x14ac:dyDescent="0.25">
      <c r="B345" t="s">
        <v>614</v>
      </c>
      <c r="C345" t="s">
        <v>679</v>
      </c>
      <c r="D345" t="s">
        <v>616</v>
      </c>
      <c r="E345">
        <v>7</v>
      </c>
      <c r="G345">
        <v>39432</v>
      </c>
      <c r="H345">
        <v>39432</v>
      </c>
      <c r="I345">
        <v>38954</v>
      </c>
      <c r="J345" t="s">
        <v>532</v>
      </c>
      <c r="K345">
        <v>38953.5</v>
      </c>
      <c r="L345">
        <v>47.299540316334102</v>
      </c>
      <c r="M345">
        <v>46.776928851624596</v>
      </c>
    </row>
    <row r="346" spans="2:13" x14ac:dyDescent="0.25">
      <c r="B346" t="s">
        <v>614</v>
      </c>
      <c r="C346" t="s">
        <v>679</v>
      </c>
      <c r="D346" t="s">
        <v>615</v>
      </c>
      <c r="E346">
        <v>7</v>
      </c>
      <c r="G346">
        <v>38475</v>
      </c>
      <c r="H346">
        <v>38475</v>
      </c>
      <c r="I346">
        <v>38954</v>
      </c>
      <c r="J346" t="s">
        <v>532</v>
      </c>
      <c r="K346">
        <v>38953.5</v>
      </c>
      <c r="L346">
        <v>46.254317386915098</v>
      </c>
      <c r="M346">
        <v>46.776928851624596</v>
      </c>
    </row>
    <row r="347" spans="2:13" x14ac:dyDescent="0.25">
      <c r="B347" t="s">
        <v>617</v>
      </c>
      <c r="C347" t="s">
        <v>679</v>
      </c>
      <c r="D347" t="s">
        <v>619</v>
      </c>
      <c r="E347">
        <v>7</v>
      </c>
      <c r="G347">
        <v>26594</v>
      </c>
      <c r="H347">
        <v>26594</v>
      </c>
      <c r="I347">
        <v>26156</v>
      </c>
      <c r="J347" t="s">
        <v>532</v>
      </c>
      <c r="K347">
        <v>26156</v>
      </c>
      <c r="L347">
        <v>33.051623907676998</v>
      </c>
      <c r="M347">
        <v>32.555132862132403</v>
      </c>
    </row>
    <row r="348" spans="2:13" x14ac:dyDescent="0.25">
      <c r="B348" t="s">
        <v>617</v>
      </c>
      <c r="C348" t="s">
        <v>679</v>
      </c>
      <c r="D348" t="s">
        <v>618</v>
      </c>
      <c r="E348">
        <v>7</v>
      </c>
      <c r="G348">
        <v>25718</v>
      </c>
      <c r="H348">
        <v>25718</v>
      </c>
      <c r="I348">
        <v>26156</v>
      </c>
      <c r="J348" t="s">
        <v>532</v>
      </c>
      <c r="K348">
        <v>26156</v>
      </c>
      <c r="L348">
        <v>32.058641816587802</v>
      </c>
      <c r="M348">
        <v>32.555132862132403</v>
      </c>
    </row>
    <row r="349" spans="2:13" x14ac:dyDescent="0.25">
      <c r="B349" t="s">
        <v>620</v>
      </c>
      <c r="C349" t="s">
        <v>679</v>
      </c>
      <c r="D349" t="s">
        <v>621</v>
      </c>
      <c r="E349">
        <v>7</v>
      </c>
      <c r="G349">
        <v>22443</v>
      </c>
      <c r="H349">
        <v>22443</v>
      </c>
      <c r="I349">
        <v>22577</v>
      </c>
      <c r="J349" t="s">
        <v>532</v>
      </c>
      <c r="K349">
        <v>22576.5</v>
      </c>
      <c r="L349">
        <v>28.3168959789685</v>
      </c>
      <c r="M349">
        <v>28.4703445467661</v>
      </c>
    </row>
    <row r="350" spans="2:13" x14ac:dyDescent="0.25">
      <c r="B350" t="s">
        <v>620</v>
      </c>
      <c r="C350" t="s">
        <v>679</v>
      </c>
      <c r="D350" t="s">
        <v>622</v>
      </c>
      <c r="E350">
        <v>7</v>
      </c>
      <c r="G350">
        <v>22710</v>
      </c>
      <c r="H350">
        <v>22710</v>
      </c>
      <c r="I350">
        <v>22577</v>
      </c>
      <c r="J350" t="s">
        <v>532</v>
      </c>
      <c r="K350">
        <v>22576.5</v>
      </c>
      <c r="L350">
        <v>28.6237931145637</v>
      </c>
      <c r="M350">
        <v>28.4703445467661</v>
      </c>
    </row>
    <row r="351" spans="2:13" x14ac:dyDescent="0.25">
      <c r="B351" t="s">
        <v>623</v>
      </c>
      <c r="C351" t="s">
        <v>679</v>
      </c>
      <c r="D351" t="s">
        <v>625</v>
      </c>
      <c r="E351">
        <v>7</v>
      </c>
      <c r="G351">
        <v>126186</v>
      </c>
      <c r="H351">
        <v>126186</v>
      </c>
      <c r="I351">
        <v>127589</v>
      </c>
      <c r="J351" t="s">
        <v>532</v>
      </c>
      <c r="K351">
        <v>127588.5</v>
      </c>
      <c r="L351">
        <v>136.349343568492</v>
      </c>
      <c r="M351">
        <v>137.731124493149</v>
      </c>
    </row>
    <row r="352" spans="2:13" x14ac:dyDescent="0.25">
      <c r="B352" t="s">
        <v>623</v>
      </c>
      <c r="C352" t="s">
        <v>679</v>
      </c>
      <c r="D352" t="s">
        <v>624</v>
      </c>
      <c r="E352">
        <v>7</v>
      </c>
      <c r="G352">
        <v>128991</v>
      </c>
      <c r="H352">
        <v>128991</v>
      </c>
      <c r="I352">
        <v>127589</v>
      </c>
      <c r="J352" t="s">
        <v>532</v>
      </c>
      <c r="K352">
        <v>127588.5</v>
      </c>
      <c r="L352">
        <v>139.11290541780701</v>
      </c>
      <c r="M352">
        <v>137.731124493149</v>
      </c>
    </row>
    <row r="353" spans="2:13" x14ac:dyDescent="0.25">
      <c r="B353" t="s">
        <v>626</v>
      </c>
      <c r="C353" t="s">
        <v>679</v>
      </c>
      <c r="D353" t="s">
        <v>628</v>
      </c>
      <c r="E353">
        <v>7</v>
      </c>
      <c r="G353">
        <v>67581</v>
      </c>
      <c r="H353">
        <v>67581</v>
      </c>
      <c r="I353">
        <v>63267</v>
      </c>
      <c r="J353" t="s">
        <v>532</v>
      </c>
      <c r="K353">
        <v>63267</v>
      </c>
      <c r="L353">
        <v>77.203927250981707</v>
      </c>
      <c r="M353">
        <v>72.694241678455995</v>
      </c>
    </row>
    <row r="354" spans="2:13" x14ac:dyDescent="0.25">
      <c r="B354" t="s">
        <v>626</v>
      </c>
      <c r="C354" t="s">
        <v>679</v>
      </c>
      <c r="D354" t="s">
        <v>627</v>
      </c>
      <c r="E354">
        <v>7</v>
      </c>
      <c r="G354">
        <v>58953</v>
      </c>
      <c r="H354">
        <v>58953</v>
      </c>
      <c r="I354">
        <v>63267</v>
      </c>
      <c r="J354" t="s">
        <v>532</v>
      </c>
      <c r="K354">
        <v>63267</v>
      </c>
      <c r="L354">
        <v>68.184556105930199</v>
      </c>
      <c r="M354">
        <v>72.694241678455995</v>
      </c>
    </row>
    <row r="355" spans="2:13" x14ac:dyDescent="0.25">
      <c r="B355" t="s">
        <v>629</v>
      </c>
      <c r="C355" t="s">
        <v>679</v>
      </c>
      <c r="D355" t="s">
        <v>630</v>
      </c>
      <c r="E355">
        <v>7</v>
      </c>
      <c r="G355">
        <v>168723</v>
      </c>
      <c r="H355">
        <v>168723</v>
      </c>
      <c r="I355">
        <v>154957</v>
      </c>
      <c r="J355" t="s">
        <v>532</v>
      </c>
      <c r="K355">
        <v>154956.5</v>
      </c>
      <c r="L355">
        <v>177.804581387626</v>
      </c>
      <c r="M355">
        <v>164.44143310799799</v>
      </c>
    </row>
    <row r="356" spans="2:13" x14ac:dyDescent="0.25">
      <c r="B356" t="s">
        <v>629</v>
      </c>
      <c r="C356" t="s">
        <v>679</v>
      </c>
      <c r="D356" t="s">
        <v>631</v>
      </c>
      <c r="E356">
        <v>7</v>
      </c>
      <c r="G356">
        <v>141190</v>
      </c>
      <c r="H356">
        <v>141190</v>
      </c>
      <c r="I356">
        <v>154957</v>
      </c>
      <c r="J356" t="s">
        <v>532</v>
      </c>
      <c r="K356">
        <v>154956.5</v>
      </c>
      <c r="L356">
        <v>151.07828482836999</v>
      </c>
      <c r="M356">
        <v>164.44143310799799</v>
      </c>
    </row>
    <row r="357" spans="2:13" x14ac:dyDescent="0.25">
      <c r="B357" t="s">
        <v>632</v>
      </c>
      <c r="C357" t="s">
        <v>679</v>
      </c>
      <c r="D357" t="s">
        <v>634</v>
      </c>
      <c r="E357">
        <v>7</v>
      </c>
      <c r="G357">
        <v>8232</v>
      </c>
      <c r="H357">
        <v>8232</v>
      </c>
      <c r="I357">
        <v>8138</v>
      </c>
      <c r="J357" t="s">
        <v>532</v>
      </c>
      <c r="K357">
        <v>8137.5</v>
      </c>
      <c r="L357">
        <v>11.295786386953599</v>
      </c>
      <c r="M357">
        <v>11.175900164332299</v>
      </c>
    </row>
    <row r="358" spans="2:13" x14ac:dyDescent="0.25">
      <c r="B358" t="s">
        <v>632</v>
      </c>
      <c r="C358" t="s">
        <v>679</v>
      </c>
      <c r="D358" t="s">
        <v>633</v>
      </c>
      <c r="E358">
        <v>7</v>
      </c>
      <c r="G358">
        <v>8043</v>
      </c>
      <c r="H358">
        <v>8043</v>
      </c>
      <c r="I358">
        <v>8138</v>
      </c>
      <c r="J358" t="s">
        <v>532</v>
      </c>
      <c r="K358">
        <v>8137.5</v>
      </c>
      <c r="L358">
        <v>11.056013941711001</v>
      </c>
      <c r="M358">
        <v>11.175900164332299</v>
      </c>
    </row>
    <row r="359" spans="2:13" x14ac:dyDescent="0.25">
      <c r="B359" t="s">
        <v>635</v>
      </c>
      <c r="C359" t="s">
        <v>679</v>
      </c>
      <c r="D359" t="s">
        <v>637</v>
      </c>
      <c r="E359">
        <v>7</v>
      </c>
      <c r="G359">
        <v>89654</v>
      </c>
      <c r="H359">
        <v>89654</v>
      </c>
      <c r="I359">
        <v>92111</v>
      </c>
      <c r="J359" t="s">
        <v>532</v>
      </c>
      <c r="K359">
        <v>92110.5</v>
      </c>
      <c r="L359">
        <v>99.850019160280695</v>
      </c>
      <c r="M359">
        <v>102.33564082896601</v>
      </c>
    </row>
    <row r="360" spans="2:13" x14ac:dyDescent="0.25">
      <c r="B360" t="s">
        <v>635</v>
      </c>
      <c r="C360" t="s">
        <v>679</v>
      </c>
      <c r="D360" t="s">
        <v>636</v>
      </c>
      <c r="E360">
        <v>7</v>
      </c>
      <c r="G360">
        <v>94567</v>
      </c>
      <c r="H360">
        <v>94567</v>
      </c>
      <c r="I360">
        <v>92111</v>
      </c>
      <c r="J360" t="s">
        <v>532</v>
      </c>
      <c r="K360">
        <v>92110.5</v>
      </c>
      <c r="L360">
        <v>104.82126249765101</v>
      </c>
      <c r="M360">
        <v>102.33564082896601</v>
      </c>
    </row>
    <row r="361" spans="2:13" x14ac:dyDescent="0.25">
      <c r="B361" t="s">
        <v>638</v>
      </c>
      <c r="C361" t="s">
        <v>679</v>
      </c>
      <c r="D361" t="s">
        <v>640</v>
      </c>
      <c r="E361">
        <v>7</v>
      </c>
      <c r="G361">
        <v>11819</v>
      </c>
      <c r="H361">
        <v>11819</v>
      </c>
      <c r="I361">
        <v>12797</v>
      </c>
      <c r="J361" t="s">
        <v>532</v>
      </c>
      <c r="K361">
        <v>12797</v>
      </c>
      <c r="L361">
        <v>15.756884301077299</v>
      </c>
      <c r="M361">
        <v>16.944078862853299</v>
      </c>
    </row>
    <row r="362" spans="2:13" x14ac:dyDescent="0.25">
      <c r="B362" t="s">
        <v>638</v>
      </c>
      <c r="C362" t="s">
        <v>679</v>
      </c>
      <c r="D362" t="s">
        <v>639</v>
      </c>
      <c r="E362">
        <v>7</v>
      </c>
      <c r="G362">
        <v>13775</v>
      </c>
      <c r="H362">
        <v>13775</v>
      </c>
      <c r="I362">
        <v>12797</v>
      </c>
      <c r="J362" t="s">
        <v>532</v>
      </c>
      <c r="K362">
        <v>12797</v>
      </c>
      <c r="L362">
        <v>18.131273424629299</v>
      </c>
      <c r="M362">
        <v>16.944078862853299</v>
      </c>
    </row>
    <row r="363" spans="2:13" x14ac:dyDescent="0.25">
      <c r="B363" t="s">
        <v>641</v>
      </c>
      <c r="C363" t="s">
        <v>679</v>
      </c>
      <c r="D363" t="s">
        <v>642</v>
      </c>
      <c r="E363">
        <v>7</v>
      </c>
      <c r="G363">
        <v>43049</v>
      </c>
      <c r="H363">
        <v>43049</v>
      </c>
      <c r="I363">
        <v>44488</v>
      </c>
      <c r="J363" t="s">
        <v>532</v>
      </c>
      <c r="K363">
        <v>44487.5</v>
      </c>
      <c r="L363">
        <v>51.229413916051001</v>
      </c>
      <c r="M363">
        <v>52.781506426970502</v>
      </c>
    </row>
    <row r="364" spans="2:13" x14ac:dyDescent="0.25">
      <c r="B364" t="s">
        <v>641</v>
      </c>
      <c r="C364" t="s">
        <v>679</v>
      </c>
      <c r="D364" t="s">
        <v>643</v>
      </c>
      <c r="E364">
        <v>7</v>
      </c>
      <c r="G364">
        <v>45926</v>
      </c>
      <c r="H364">
        <v>45926</v>
      </c>
      <c r="I364">
        <v>44488</v>
      </c>
      <c r="J364" t="s">
        <v>532</v>
      </c>
      <c r="K364">
        <v>44487.5</v>
      </c>
      <c r="L364">
        <v>54.333598937889903</v>
      </c>
      <c r="M364">
        <v>52.781506426970502</v>
      </c>
    </row>
    <row r="365" spans="2:13" x14ac:dyDescent="0.25">
      <c r="B365" t="s">
        <v>644</v>
      </c>
      <c r="C365" t="s">
        <v>679</v>
      </c>
      <c r="D365" t="s">
        <v>646</v>
      </c>
      <c r="E365">
        <v>7</v>
      </c>
      <c r="G365">
        <v>612</v>
      </c>
      <c r="H365">
        <v>612</v>
      </c>
      <c r="I365">
        <v>620</v>
      </c>
      <c r="J365" t="s">
        <v>532</v>
      </c>
      <c r="K365">
        <v>619.5</v>
      </c>
      <c r="L365">
        <v>0.80385660002036696</v>
      </c>
      <c r="M365">
        <v>0.81645928521633104</v>
      </c>
    </row>
    <row r="366" spans="2:13" x14ac:dyDescent="0.25">
      <c r="B366" t="s">
        <v>644</v>
      </c>
      <c r="C366" t="s">
        <v>679</v>
      </c>
      <c r="D366" t="s">
        <v>645</v>
      </c>
      <c r="E366">
        <v>7</v>
      </c>
      <c r="G366">
        <v>627</v>
      </c>
      <c r="H366">
        <v>627</v>
      </c>
      <c r="I366">
        <v>620</v>
      </c>
      <c r="J366" t="s">
        <v>532</v>
      </c>
      <c r="K366">
        <v>619.5</v>
      </c>
      <c r="L366">
        <v>0.82906197041229501</v>
      </c>
      <c r="M366">
        <v>0.81645928521633104</v>
      </c>
    </row>
    <row r="367" spans="2:13" x14ac:dyDescent="0.25">
      <c r="B367" t="s">
        <v>647</v>
      </c>
      <c r="C367" t="s">
        <v>679</v>
      </c>
      <c r="D367" t="s">
        <v>649</v>
      </c>
      <c r="E367">
        <v>7</v>
      </c>
      <c r="G367">
        <v>8772</v>
      </c>
      <c r="H367">
        <v>8772</v>
      </c>
      <c r="I367">
        <v>8192</v>
      </c>
      <c r="J367" t="s">
        <v>532</v>
      </c>
      <c r="K367">
        <v>8192</v>
      </c>
      <c r="L367">
        <v>11.9779163676936</v>
      </c>
      <c r="M367">
        <v>11.242523071843801</v>
      </c>
    </row>
    <row r="368" spans="2:13" x14ac:dyDescent="0.25">
      <c r="B368" t="s">
        <v>647</v>
      </c>
      <c r="C368" t="s">
        <v>679</v>
      </c>
      <c r="D368" t="s">
        <v>648</v>
      </c>
      <c r="E368">
        <v>7</v>
      </c>
      <c r="G368">
        <v>7612</v>
      </c>
      <c r="H368">
        <v>7612</v>
      </c>
      <c r="I368">
        <v>8192</v>
      </c>
      <c r="J368" t="s">
        <v>532</v>
      </c>
      <c r="K368">
        <v>8192</v>
      </c>
      <c r="L368">
        <v>10.5071297759941</v>
      </c>
      <c r="M368">
        <v>11.242523071843801</v>
      </c>
    </row>
    <row r="369" spans="2:13" x14ac:dyDescent="0.25">
      <c r="B369" t="s">
        <v>650</v>
      </c>
      <c r="C369" t="s">
        <v>679</v>
      </c>
      <c r="D369" t="s">
        <v>651</v>
      </c>
      <c r="E369">
        <v>7</v>
      </c>
      <c r="G369">
        <v>33082</v>
      </c>
      <c r="H369">
        <v>33082</v>
      </c>
      <c r="I369">
        <v>24484</v>
      </c>
      <c r="J369" t="s">
        <v>532</v>
      </c>
      <c r="K369">
        <v>24484</v>
      </c>
      <c r="L369">
        <v>40.317075772304499</v>
      </c>
      <c r="M369">
        <v>30.487290576607801</v>
      </c>
    </row>
    <row r="370" spans="2:13" x14ac:dyDescent="0.25">
      <c r="B370" t="s">
        <v>650</v>
      </c>
      <c r="C370" t="s">
        <v>679</v>
      </c>
      <c r="D370" t="s">
        <v>652</v>
      </c>
      <c r="E370">
        <v>7</v>
      </c>
      <c r="G370">
        <v>15886</v>
      </c>
      <c r="H370">
        <v>15886</v>
      </c>
      <c r="I370">
        <v>24484</v>
      </c>
      <c r="J370" t="s">
        <v>532</v>
      </c>
      <c r="K370">
        <v>24484</v>
      </c>
      <c r="L370">
        <v>20.6575053809112</v>
      </c>
      <c r="M370">
        <v>30.487290576607801</v>
      </c>
    </row>
    <row r="371" spans="2:13" x14ac:dyDescent="0.25">
      <c r="B371" t="s">
        <v>653</v>
      </c>
      <c r="C371" t="s">
        <v>679</v>
      </c>
      <c r="D371" t="s">
        <v>654</v>
      </c>
      <c r="E371">
        <v>7</v>
      </c>
      <c r="G371">
        <v>32078</v>
      </c>
      <c r="H371">
        <v>32078</v>
      </c>
      <c r="I371">
        <v>32398</v>
      </c>
      <c r="J371" t="s">
        <v>532</v>
      </c>
      <c r="K371">
        <v>32397.5</v>
      </c>
      <c r="L371">
        <v>39.202198286765899</v>
      </c>
      <c r="M371">
        <v>39.5571674877989</v>
      </c>
    </row>
    <row r="372" spans="2:13" x14ac:dyDescent="0.25">
      <c r="B372" t="s">
        <v>653</v>
      </c>
      <c r="C372" t="s">
        <v>679</v>
      </c>
      <c r="D372" t="s">
        <v>655</v>
      </c>
      <c r="E372">
        <v>7</v>
      </c>
      <c r="G372">
        <v>32717</v>
      </c>
      <c r="H372">
        <v>32717</v>
      </c>
      <c r="I372">
        <v>32398</v>
      </c>
      <c r="J372" t="s">
        <v>532</v>
      </c>
      <c r="K372">
        <v>32397.5</v>
      </c>
      <c r="L372">
        <v>39.9121366888319</v>
      </c>
      <c r="M372">
        <v>39.5571674877989</v>
      </c>
    </row>
    <row r="373" spans="2:13" x14ac:dyDescent="0.25">
      <c r="B373" t="s">
        <v>656</v>
      </c>
      <c r="C373" t="s">
        <v>679</v>
      </c>
      <c r="D373" t="s">
        <v>658</v>
      </c>
      <c r="E373">
        <v>7</v>
      </c>
      <c r="G373">
        <v>278</v>
      </c>
      <c r="H373">
        <v>278</v>
      </c>
      <c r="I373">
        <v>270</v>
      </c>
      <c r="J373" t="s">
        <v>532</v>
      </c>
      <c r="K373">
        <v>270</v>
      </c>
      <c r="L373">
        <v>0.20933794804129599</v>
      </c>
      <c r="M373">
        <v>0.193637462342056</v>
      </c>
    </row>
    <row r="374" spans="2:13" x14ac:dyDescent="0.25">
      <c r="B374" t="s">
        <v>656</v>
      </c>
      <c r="C374" t="s">
        <v>679</v>
      </c>
      <c r="D374" t="s">
        <v>657</v>
      </c>
      <c r="E374">
        <v>7</v>
      </c>
      <c r="G374">
        <v>262</v>
      </c>
      <c r="H374">
        <v>262</v>
      </c>
      <c r="I374">
        <v>270</v>
      </c>
      <c r="J374" t="s">
        <v>532</v>
      </c>
      <c r="K374">
        <v>270</v>
      </c>
      <c r="L374">
        <v>0.17793697664281699</v>
      </c>
      <c r="M374">
        <v>0.193637462342056</v>
      </c>
    </row>
    <row r="375" spans="2:13" x14ac:dyDescent="0.25">
      <c r="B375" t="s">
        <v>659</v>
      </c>
      <c r="C375" t="s">
        <v>679</v>
      </c>
      <c r="D375" t="s">
        <v>660</v>
      </c>
      <c r="E375">
        <v>7</v>
      </c>
      <c r="G375">
        <v>475</v>
      </c>
      <c r="H375">
        <v>475</v>
      </c>
      <c r="I375">
        <v>480</v>
      </c>
      <c r="J375" t="s">
        <v>532</v>
      </c>
      <c r="K375">
        <v>479.5</v>
      </c>
      <c r="L375">
        <v>0.56919637529293698</v>
      </c>
      <c r="M375">
        <v>0.57704620611347701</v>
      </c>
    </row>
    <row r="376" spans="2:13" x14ac:dyDescent="0.25">
      <c r="B376" t="s">
        <v>659</v>
      </c>
      <c r="C376" t="s">
        <v>679</v>
      </c>
      <c r="D376" t="s">
        <v>661</v>
      </c>
      <c r="E376">
        <v>7</v>
      </c>
      <c r="G376">
        <v>484</v>
      </c>
      <c r="H376">
        <v>484</v>
      </c>
      <c r="I376">
        <v>480</v>
      </c>
      <c r="J376" t="s">
        <v>532</v>
      </c>
      <c r="K376">
        <v>479.5</v>
      </c>
      <c r="L376">
        <v>0.58489603693401704</v>
      </c>
      <c r="M376">
        <v>0.57704620611347701</v>
      </c>
    </row>
    <row r="377" spans="2:13" x14ac:dyDescent="0.25">
      <c r="B377" t="s">
        <v>662</v>
      </c>
      <c r="C377" t="s">
        <v>679</v>
      </c>
      <c r="D377" t="s">
        <v>663</v>
      </c>
      <c r="E377">
        <v>7</v>
      </c>
      <c r="G377">
        <v>28149</v>
      </c>
      <c r="H377">
        <v>28149</v>
      </c>
      <c r="I377">
        <v>30154</v>
      </c>
      <c r="J377" t="s">
        <v>532</v>
      </c>
      <c r="K377">
        <v>30154</v>
      </c>
      <c r="L377">
        <v>34.806772497894798</v>
      </c>
      <c r="M377">
        <v>37.049517726780302</v>
      </c>
    </row>
    <row r="378" spans="2:13" x14ac:dyDescent="0.25">
      <c r="B378" t="s">
        <v>662</v>
      </c>
      <c r="C378" t="s">
        <v>679</v>
      </c>
      <c r="D378" t="s">
        <v>664</v>
      </c>
      <c r="E378">
        <v>7</v>
      </c>
      <c r="G378">
        <v>32159</v>
      </c>
      <c r="H378">
        <v>32159</v>
      </c>
      <c r="I378">
        <v>30154</v>
      </c>
      <c r="J378" t="s">
        <v>532</v>
      </c>
      <c r="K378">
        <v>30154</v>
      </c>
      <c r="L378">
        <v>39.292262955665798</v>
      </c>
      <c r="M378">
        <v>37.049517726780302</v>
      </c>
    </row>
    <row r="379" spans="2:13" x14ac:dyDescent="0.25">
      <c r="B379" t="s">
        <v>665</v>
      </c>
      <c r="C379" t="s">
        <v>679</v>
      </c>
      <c r="D379" t="s">
        <v>667</v>
      </c>
      <c r="E379">
        <v>7</v>
      </c>
      <c r="G379">
        <v>18275</v>
      </c>
      <c r="H379">
        <v>18275</v>
      </c>
      <c r="I379">
        <v>18146</v>
      </c>
      <c r="J379" t="s">
        <v>532</v>
      </c>
      <c r="K379">
        <v>18146</v>
      </c>
      <c r="L379">
        <v>23.477828262252199</v>
      </c>
      <c r="M379">
        <v>23.326431863654602</v>
      </c>
    </row>
    <row r="380" spans="2:13" x14ac:dyDescent="0.25">
      <c r="B380" t="s">
        <v>665</v>
      </c>
      <c r="C380" t="s">
        <v>679</v>
      </c>
      <c r="D380" t="s">
        <v>666</v>
      </c>
      <c r="E380">
        <v>7</v>
      </c>
      <c r="G380">
        <v>18017</v>
      </c>
      <c r="H380">
        <v>18017</v>
      </c>
      <c r="I380">
        <v>18146</v>
      </c>
      <c r="J380" t="s">
        <v>532</v>
      </c>
      <c r="K380">
        <v>18146</v>
      </c>
      <c r="L380">
        <v>23.175035465057</v>
      </c>
      <c r="M380">
        <v>23.326431863654602</v>
      </c>
    </row>
    <row r="381" spans="2:13" x14ac:dyDescent="0.25">
      <c r="B381" t="s">
        <v>668</v>
      </c>
      <c r="C381" t="s">
        <v>679</v>
      </c>
      <c r="D381" t="s">
        <v>670</v>
      </c>
      <c r="E381">
        <v>7</v>
      </c>
      <c r="G381">
        <v>37679</v>
      </c>
      <c r="H381">
        <v>37679</v>
      </c>
      <c r="I381">
        <v>44288</v>
      </c>
      <c r="J381" t="s">
        <v>532</v>
      </c>
      <c r="K381">
        <v>44287.5</v>
      </c>
      <c r="L381">
        <v>45.3831093197172</v>
      </c>
      <c r="M381">
        <v>52.519100514726603</v>
      </c>
    </row>
    <row r="382" spans="2:13" x14ac:dyDescent="0.25">
      <c r="B382" t="s">
        <v>668</v>
      </c>
      <c r="C382" t="s">
        <v>679</v>
      </c>
      <c r="D382" t="s">
        <v>669</v>
      </c>
      <c r="E382">
        <v>7</v>
      </c>
      <c r="G382">
        <v>50896</v>
      </c>
      <c r="H382">
        <v>50896</v>
      </c>
      <c r="I382">
        <v>44288</v>
      </c>
      <c r="J382" t="s">
        <v>532</v>
      </c>
      <c r="K382">
        <v>44287.5</v>
      </c>
      <c r="L382">
        <v>59.655091709735899</v>
      </c>
      <c r="M382">
        <v>52.519100514726603</v>
      </c>
    </row>
    <row r="383" spans="2:13" x14ac:dyDescent="0.25">
      <c r="B383" t="s">
        <v>671</v>
      </c>
      <c r="C383" t="s">
        <v>679</v>
      </c>
      <c r="D383" t="s">
        <v>672</v>
      </c>
      <c r="E383">
        <v>7</v>
      </c>
      <c r="G383">
        <v>335</v>
      </c>
      <c r="H383">
        <v>335</v>
      </c>
      <c r="I383">
        <v>333</v>
      </c>
      <c r="J383" t="s">
        <v>532</v>
      </c>
      <c r="K383">
        <v>332.5</v>
      </c>
      <c r="L383">
        <v>0.31761269335613301</v>
      </c>
      <c r="M383">
        <v>0.31295428878828802</v>
      </c>
    </row>
    <row r="384" spans="2:13" x14ac:dyDescent="0.25">
      <c r="B384" t="s">
        <v>671</v>
      </c>
      <c r="C384" t="s">
        <v>679</v>
      </c>
      <c r="D384" t="s">
        <v>673</v>
      </c>
      <c r="E384">
        <v>7</v>
      </c>
      <c r="G384">
        <v>330</v>
      </c>
      <c r="H384">
        <v>330</v>
      </c>
      <c r="I384">
        <v>333</v>
      </c>
      <c r="J384" t="s">
        <v>532</v>
      </c>
      <c r="K384">
        <v>332.5</v>
      </c>
      <c r="L384">
        <v>0.30829588422044402</v>
      </c>
      <c r="M384">
        <v>0.31295428878828802</v>
      </c>
    </row>
    <row r="385" spans="2:13" x14ac:dyDescent="0.25">
      <c r="B385" t="s">
        <v>674</v>
      </c>
      <c r="C385" t="s">
        <v>679</v>
      </c>
      <c r="D385" t="s">
        <v>675</v>
      </c>
      <c r="E385">
        <v>7</v>
      </c>
      <c r="G385">
        <v>697</v>
      </c>
      <c r="H385">
        <v>697</v>
      </c>
      <c r="I385">
        <v>725</v>
      </c>
      <c r="J385" t="s">
        <v>532</v>
      </c>
      <c r="K385">
        <v>724.5</v>
      </c>
      <c r="L385">
        <v>0.94564384679179603</v>
      </c>
      <c r="M385">
        <v>0.99090072550427799</v>
      </c>
    </row>
    <row r="386" spans="2:13" x14ac:dyDescent="0.25">
      <c r="B386" t="s">
        <v>674</v>
      </c>
      <c r="C386" t="s">
        <v>679</v>
      </c>
      <c r="D386" t="s">
        <v>676</v>
      </c>
      <c r="E386">
        <v>7</v>
      </c>
      <c r="G386">
        <v>752</v>
      </c>
      <c r="H386">
        <v>752</v>
      </c>
      <c r="I386">
        <v>725</v>
      </c>
      <c r="J386" t="s">
        <v>532</v>
      </c>
      <c r="K386">
        <v>724.5</v>
      </c>
      <c r="L386">
        <v>1.03615760421676</v>
      </c>
      <c r="M386">
        <v>0.99090072550427799</v>
      </c>
    </row>
    <row r="387" spans="2:13" x14ac:dyDescent="0.25">
      <c r="B387" t="s">
        <v>527</v>
      </c>
      <c r="C387" t="s">
        <v>680</v>
      </c>
      <c r="D387" t="s">
        <v>529</v>
      </c>
      <c r="E387">
        <v>8</v>
      </c>
      <c r="F387">
        <v>3860</v>
      </c>
      <c r="G387">
        <v>1541396</v>
      </c>
      <c r="H387">
        <v>1541396</v>
      </c>
      <c r="I387">
        <v>1517014</v>
      </c>
      <c r="J387" t="s">
        <v>530</v>
      </c>
      <c r="K387">
        <v>1517013.5</v>
      </c>
      <c r="L387">
        <v>3976.3815924768701</v>
      </c>
      <c r="M387">
        <v>3914.9403738203901</v>
      </c>
    </row>
    <row r="388" spans="2:13" x14ac:dyDescent="0.25">
      <c r="B388" t="s">
        <v>527</v>
      </c>
      <c r="C388" t="s">
        <v>680</v>
      </c>
      <c r="D388" t="s">
        <v>531</v>
      </c>
      <c r="E388">
        <v>8</v>
      </c>
      <c r="F388">
        <v>3860</v>
      </c>
      <c r="G388">
        <v>1492631</v>
      </c>
      <c r="H388">
        <v>1492631</v>
      </c>
      <c r="I388">
        <v>1517014</v>
      </c>
      <c r="J388" t="s">
        <v>532</v>
      </c>
      <c r="K388">
        <v>1517013.5</v>
      </c>
      <c r="L388">
        <v>3853.49915516392</v>
      </c>
      <c r="M388">
        <v>3914.9403738203901</v>
      </c>
    </row>
    <row r="389" spans="2:13" x14ac:dyDescent="0.25">
      <c r="B389" t="s">
        <v>533</v>
      </c>
      <c r="C389" t="s">
        <v>680</v>
      </c>
      <c r="D389" t="s">
        <v>535</v>
      </c>
      <c r="E389">
        <v>8</v>
      </c>
      <c r="F389">
        <v>965</v>
      </c>
      <c r="G389">
        <v>366986</v>
      </c>
      <c r="H389">
        <v>366986</v>
      </c>
      <c r="I389">
        <v>368652</v>
      </c>
      <c r="J389" t="s">
        <v>532</v>
      </c>
      <c r="K389">
        <v>368651.5</v>
      </c>
      <c r="L389">
        <v>979.43735785655599</v>
      </c>
      <c r="M389">
        <v>983.77832214147099</v>
      </c>
    </row>
    <row r="390" spans="2:13" x14ac:dyDescent="0.25">
      <c r="B390" t="s">
        <v>533</v>
      </c>
      <c r="C390" t="s">
        <v>680</v>
      </c>
      <c r="D390" t="s">
        <v>534</v>
      </c>
      <c r="E390">
        <v>8</v>
      </c>
      <c r="F390">
        <v>965</v>
      </c>
      <c r="G390">
        <v>370317</v>
      </c>
      <c r="H390">
        <v>370317</v>
      </c>
      <c r="I390">
        <v>368652</v>
      </c>
      <c r="J390" t="s">
        <v>532</v>
      </c>
      <c r="K390">
        <v>368651.5</v>
      </c>
      <c r="L390">
        <v>988.11928642638702</v>
      </c>
      <c r="M390">
        <v>983.77832214147099</v>
      </c>
    </row>
    <row r="391" spans="2:13" x14ac:dyDescent="0.25">
      <c r="B391" t="s">
        <v>536</v>
      </c>
      <c r="C391" t="s">
        <v>680</v>
      </c>
      <c r="D391" t="s">
        <v>537</v>
      </c>
      <c r="E391">
        <v>8</v>
      </c>
      <c r="F391">
        <v>241.25</v>
      </c>
      <c r="G391">
        <v>86854</v>
      </c>
      <c r="H391">
        <v>86854</v>
      </c>
      <c r="I391">
        <v>83475</v>
      </c>
      <c r="J391" t="s">
        <v>532</v>
      </c>
      <c r="K391">
        <v>83475</v>
      </c>
      <c r="L391">
        <v>239.08994975292799</v>
      </c>
      <c r="M391">
        <v>229.950453878492</v>
      </c>
    </row>
    <row r="392" spans="2:13" x14ac:dyDescent="0.25">
      <c r="B392" t="s">
        <v>536</v>
      </c>
      <c r="C392" t="s">
        <v>680</v>
      </c>
      <c r="D392" t="s">
        <v>538</v>
      </c>
      <c r="E392">
        <v>8</v>
      </c>
      <c r="F392">
        <v>241.25</v>
      </c>
      <c r="G392">
        <v>80096</v>
      </c>
      <c r="H392">
        <v>80096</v>
      </c>
      <c r="I392">
        <v>83475</v>
      </c>
      <c r="J392" t="s">
        <v>532</v>
      </c>
      <c r="K392">
        <v>83475</v>
      </c>
      <c r="L392">
        <v>220.810958004056</v>
      </c>
      <c r="M392">
        <v>229.950453878492</v>
      </c>
    </row>
    <row r="393" spans="2:13" x14ac:dyDescent="0.25">
      <c r="B393" t="s">
        <v>539</v>
      </c>
      <c r="C393" t="s">
        <v>680</v>
      </c>
      <c r="D393" t="s">
        <v>540</v>
      </c>
      <c r="E393">
        <v>8</v>
      </c>
      <c r="F393">
        <v>60.3125</v>
      </c>
      <c r="G393">
        <v>21813</v>
      </c>
      <c r="H393">
        <v>21813</v>
      </c>
      <c r="I393">
        <v>22099</v>
      </c>
      <c r="J393" t="s">
        <v>532</v>
      </c>
      <c r="K393">
        <v>22098.5</v>
      </c>
      <c r="L393">
        <v>60.930585095307599</v>
      </c>
      <c r="M393">
        <v>61.729380424459002</v>
      </c>
    </row>
    <row r="394" spans="2:13" x14ac:dyDescent="0.25">
      <c r="B394" t="s">
        <v>539</v>
      </c>
      <c r="C394" t="s">
        <v>680</v>
      </c>
      <c r="D394" t="s">
        <v>541</v>
      </c>
      <c r="E394">
        <v>8</v>
      </c>
      <c r="F394">
        <v>60.3125</v>
      </c>
      <c r="G394">
        <v>22384</v>
      </c>
      <c r="H394">
        <v>22384</v>
      </c>
      <c r="I394">
        <v>22099</v>
      </c>
      <c r="J394" t="s">
        <v>532</v>
      </c>
      <c r="K394">
        <v>22098.5</v>
      </c>
      <c r="L394">
        <v>62.528175753610299</v>
      </c>
      <c r="M394">
        <v>61.729380424459002</v>
      </c>
    </row>
    <row r="395" spans="2:13" x14ac:dyDescent="0.25">
      <c r="B395" t="s">
        <v>542</v>
      </c>
      <c r="C395" t="s">
        <v>680</v>
      </c>
      <c r="D395" t="s">
        <v>544</v>
      </c>
      <c r="E395">
        <v>8</v>
      </c>
      <c r="F395">
        <v>15.078125</v>
      </c>
      <c r="G395">
        <v>5513</v>
      </c>
      <c r="H395">
        <v>5513</v>
      </c>
      <c r="I395">
        <v>5491</v>
      </c>
      <c r="J395" t="s">
        <v>532</v>
      </c>
      <c r="K395">
        <v>5490.5</v>
      </c>
      <c r="L395">
        <v>14.6622270595941</v>
      </c>
      <c r="M395">
        <v>14.5968894095859</v>
      </c>
    </row>
    <row r="396" spans="2:13" x14ac:dyDescent="0.25">
      <c r="B396" t="s">
        <v>542</v>
      </c>
      <c r="C396" t="s">
        <v>680</v>
      </c>
      <c r="D396" t="s">
        <v>543</v>
      </c>
      <c r="E396">
        <v>8</v>
      </c>
      <c r="F396">
        <v>15.078125</v>
      </c>
      <c r="G396">
        <v>5468</v>
      </c>
      <c r="H396">
        <v>5468</v>
      </c>
      <c r="I396">
        <v>5491</v>
      </c>
      <c r="J396" t="s">
        <v>532</v>
      </c>
      <c r="K396">
        <v>5490.5</v>
      </c>
      <c r="L396">
        <v>14.531551759577701</v>
      </c>
      <c r="M396">
        <v>14.5968894095859</v>
      </c>
    </row>
    <row r="397" spans="2:13" x14ac:dyDescent="0.25">
      <c r="B397" t="s">
        <v>545</v>
      </c>
      <c r="C397" t="s">
        <v>680</v>
      </c>
      <c r="D397" t="s">
        <v>547</v>
      </c>
      <c r="E397">
        <v>8</v>
      </c>
      <c r="F397">
        <v>3.76953125</v>
      </c>
      <c r="G397">
        <v>1825</v>
      </c>
      <c r="H397">
        <v>1825</v>
      </c>
      <c r="I397">
        <v>1865</v>
      </c>
      <c r="J397" t="s">
        <v>532</v>
      </c>
      <c r="K397">
        <v>1865</v>
      </c>
      <c r="L397">
        <v>3.8077633783103901</v>
      </c>
      <c r="M397">
        <v>3.9279219915486401</v>
      </c>
    </row>
    <row r="398" spans="2:13" x14ac:dyDescent="0.25">
      <c r="B398" t="s">
        <v>545</v>
      </c>
      <c r="C398" t="s">
        <v>680</v>
      </c>
      <c r="D398" t="s">
        <v>546</v>
      </c>
      <c r="E398">
        <v>8</v>
      </c>
      <c r="F398">
        <v>3.76953125</v>
      </c>
      <c r="G398">
        <v>1905</v>
      </c>
      <c r="H398">
        <v>1905</v>
      </c>
      <c r="I398">
        <v>1865</v>
      </c>
      <c r="J398" t="s">
        <v>532</v>
      </c>
      <c r="K398">
        <v>1865</v>
      </c>
      <c r="L398">
        <v>4.0480806047868798</v>
      </c>
      <c r="M398">
        <v>3.9279219915486401</v>
      </c>
    </row>
    <row r="399" spans="2:13" x14ac:dyDescent="0.25">
      <c r="B399" t="s">
        <v>548</v>
      </c>
      <c r="C399" t="s">
        <v>680</v>
      </c>
      <c r="D399" t="s">
        <v>550</v>
      </c>
      <c r="E399">
        <v>8</v>
      </c>
      <c r="F399">
        <v>0.9423828125</v>
      </c>
      <c r="G399">
        <v>897</v>
      </c>
      <c r="H399">
        <v>897</v>
      </c>
      <c r="I399">
        <v>903</v>
      </c>
      <c r="J399" t="s">
        <v>532</v>
      </c>
      <c r="K399">
        <v>903</v>
      </c>
      <c r="L399">
        <v>0.97958294719887695</v>
      </c>
      <c r="M399">
        <v>0.99825534082224598</v>
      </c>
    </row>
    <row r="400" spans="2:13" x14ac:dyDescent="0.25">
      <c r="B400" t="s">
        <v>548</v>
      </c>
      <c r="C400" t="s">
        <v>680</v>
      </c>
      <c r="D400" t="s">
        <v>549</v>
      </c>
      <c r="E400">
        <v>8</v>
      </c>
      <c r="F400">
        <v>0.9423828125</v>
      </c>
      <c r="G400">
        <v>909</v>
      </c>
      <c r="H400">
        <v>909</v>
      </c>
      <c r="I400">
        <v>903</v>
      </c>
      <c r="J400" t="s">
        <v>532</v>
      </c>
      <c r="K400">
        <v>903</v>
      </c>
      <c r="L400">
        <v>1.01692773444561</v>
      </c>
      <c r="M400">
        <v>0.99825534082224598</v>
      </c>
    </row>
    <row r="401" spans="2:13" x14ac:dyDescent="0.25">
      <c r="B401" t="s">
        <v>551</v>
      </c>
      <c r="C401" t="s">
        <v>680</v>
      </c>
      <c r="D401" t="s">
        <v>555</v>
      </c>
      <c r="E401">
        <v>8</v>
      </c>
      <c r="F401">
        <v>0</v>
      </c>
      <c r="G401">
        <v>557</v>
      </c>
      <c r="H401">
        <v>557</v>
      </c>
      <c r="I401">
        <v>580</v>
      </c>
      <c r="J401" t="s">
        <v>553</v>
      </c>
      <c r="K401">
        <v>579.5</v>
      </c>
      <c r="L401" t="s">
        <v>554</v>
      </c>
      <c r="M401" t="s">
        <v>554</v>
      </c>
    </row>
    <row r="402" spans="2:13" x14ac:dyDescent="0.25">
      <c r="B402" t="s">
        <v>551</v>
      </c>
      <c r="C402" t="s">
        <v>680</v>
      </c>
      <c r="D402" t="s">
        <v>552</v>
      </c>
      <c r="E402">
        <v>8</v>
      </c>
      <c r="F402">
        <v>0</v>
      </c>
      <c r="G402">
        <v>602</v>
      </c>
      <c r="H402">
        <v>602</v>
      </c>
      <c r="I402">
        <v>580</v>
      </c>
      <c r="J402" t="s">
        <v>556</v>
      </c>
      <c r="K402">
        <v>579.5</v>
      </c>
      <c r="L402">
        <v>4.0570968083609903E-2</v>
      </c>
      <c r="M402" t="s">
        <v>554</v>
      </c>
    </row>
    <row r="403" spans="2:13" x14ac:dyDescent="0.25">
      <c r="B403" t="s">
        <v>557</v>
      </c>
      <c r="C403" t="s">
        <v>680</v>
      </c>
      <c r="D403" t="s">
        <v>559</v>
      </c>
      <c r="E403">
        <v>8</v>
      </c>
      <c r="G403">
        <v>551</v>
      </c>
      <c r="H403">
        <v>551</v>
      </c>
      <c r="I403">
        <v>540</v>
      </c>
      <c r="J403" t="s">
        <v>553</v>
      </c>
      <c r="K403">
        <v>539.5</v>
      </c>
      <c r="L403" t="s">
        <v>554</v>
      </c>
      <c r="M403" t="s">
        <v>554</v>
      </c>
    </row>
    <row r="404" spans="2:13" x14ac:dyDescent="0.25">
      <c r="B404" t="s">
        <v>557</v>
      </c>
      <c r="C404" t="s">
        <v>680</v>
      </c>
      <c r="D404" t="s">
        <v>558</v>
      </c>
      <c r="E404">
        <v>8</v>
      </c>
      <c r="G404">
        <v>528</v>
      </c>
      <c r="H404">
        <v>528</v>
      </c>
      <c r="I404">
        <v>540</v>
      </c>
      <c r="J404" t="s">
        <v>553</v>
      </c>
      <c r="K404">
        <v>539.5</v>
      </c>
      <c r="L404" t="s">
        <v>554</v>
      </c>
      <c r="M404" t="s">
        <v>554</v>
      </c>
    </row>
    <row r="405" spans="2:13" x14ac:dyDescent="0.25">
      <c r="B405" t="s">
        <v>560</v>
      </c>
      <c r="C405" t="s">
        <v>680</v>
      </c>
      <c r="D405" t="s">
        <v>562</v>
      </c>
      <c r="E405">
        <v>8</v>
      </c>
      <c r="G405">
        <v>538</v>
      </c>
      <c r="H405">
        <v>538</v>
      </c>
      <c r="I405">
        <v>535</v>
      </c>
      <c r="J405" t="s">
        <v>553</v>
      </c>
      <c r="K405">
        <v>535</v>
      </c>
      <c r="L405" t="s">
        <v>554</v>
      </c>
      <c r="M405" t="s">
        <v>554</v>
      </c>
    </row>
    <row r="406" spans="2:13" x14ac:dyDescent="0.25">
      <c r="B406" t="s">
        <v>560</v>
      </c>
      <c r="C406" t="s">
        <v>680</v>
      </c>
      <c r="D406" t="s">
        <v>561</v>
      </c>
      <c r="E406">
        <v>8</v>
      </c>
      <c r="G406">
        <v>532</v>
      </c>
      <c r="H406">
        <v>532</v>
      </c>
      <c r="I406">
        <v>535</v>
      </c>
      <c r="J406" t="s">
        <v>553</v>
      </c>
      <c r="K406">
        <v>535</v>
      </c>
      <c r="L406" t="s">
        <v>554</v>
      </c>
      <c r="M406" t="s">
        <v>554</v>
      </c>
    </row>
    <row r="407" spans="2:13" x14ac:dyDescent="0.25">
      <c r="B407" t="s">
        <v>563</v>
      </c>
      <c r="C407" t="s">
        <v>680</v>
      </c>
      <c r="D407" t="s">
        <v>565</v>
      </c>
      <c r="E407">
        <v>8</v>
      </c>
      <c r="G407">
        <v>560</v>
      </c>
      <c r="H407">
        <v>560</v>
      </c>
      <c r="I407">
        <v>557</v>
      </c>
      <c r="J407" t="s">
        <v>553</v>
      </c>
      <c r="K407">
        <v>556.5</v>
      </c>
      <c r="L407" t="s">
        <v>554</v>
      </c>
      <c r="M407" t="s">
        <v>554</v>
      </c>
    </row>
    <row r="408" spans="2:13" x14ac:dyDescent="0.25">
      <c r="B408" t="s">
        <v>563</v>
      </c>
      <c r="C408" t="s">
        <v>680</v>
      </c>
      <c r="D408" t="s">
        <v>564</v>
      </c>
      <c r="E408">
        <v>8</v>
      </c>
      <c r="G408">
        <v>553</v>
      </c>
      <c r="H408">
        <v>553</v>
      </c>
      <c r="I408">
        <v>557</v>
      </c>
      <c r="J408" t="s">
        <v>553</v>
      </c>
      <c r="K408">
        <v>556.5</v>
      </c>
      <c r="L408" t="s">
        <v>554</v>
      </c>
      <c r="M408" t="s">
        <v>554</v>
      </c>
    </row>
    <row r="409" spans="2:13" x14ac:dyDescent="0.25">
      <c r="B409" t="s">
        <v>566</v>
      </c>
      <c r="C409" t="s">
        <v>680</v>
      </c>
      <c r="D409" t="s">
        <v>568</v>
      </c>
      <c r="E409">
        <v>8</v>
      </c>
      <c r="G409">
        <v>553</v>
      </c>
      <c r="H409">
        <v>553</v>
      </c>
      <c r="I409">
        <v>556</v>
      </c>
      <c r="J409" t="s">
        <v>553</v>
      </c>
      <c r="K409">
        <v>555.5</v>
      </c>
      <c r="L409" t="s">
        <v>554</v>
      </c>
      <c r="M409" t="s">
        <v>554</v>
      </c>
    </row>
    <row r="410" spans="2:13" x14ac:dyDescent="0.25">
      <c r="B410" t="s">
        <v>566</v>
      </c>
      <c r="C410" t="s">
        <v>680</v>
      </c>
      <c r="D410" t="s">
        <v>567</v>
      </c>
      <c r="E410">
        <v>8</v>
      </c>
      <c r="G410">
        <v>558</v>
      </c>
      <c r="H410">
        <v>558</v>
      </c>
      <c r="I410">
        <v>556</v>
      </c>
      <c r="J410" t="s">
        <v>553</v>
      </c>
      <c r="K410">
        <v>555.5</v>
      </c>
      <c r="L410" t="s">
        <v>554</v>
      </c>
      <c r="M410" t="s">
        <v>554</v>
      </c>
    </row>
    <row r="411" spans="2:13" x14ac:dyDescent="0.25">
      <c r="B411" t="s">
        <v>569</v>
      </c>
      <c r="C411" t="s">
        <v>680</v>
      </c>
      <c r="D411" t="s">
        <v>570</v>
      </c>
      <c r="E411">
        <v>8</v>
      </c>
      <c r="G411">
        <v>687</v>
      </c>
      <c r="H411">
        <v>687</v>
      </c>
      <c r="I411">
        <v>668</v>
      </c>
      <c r="J411" t="s">
        <v>532</v>
      </c>
      <c r="K411">
        <v>667.5</v>
      </c>
      <c r="L411">
        <v>0.31795663596540302</v>
      </c>
      <c r="M411">
        <v>0.25507990573968398</v>
      </c>
    </row>
    <row r="412" spans="2:13" x14ac:dyDescent="0.25">
      <c r="B412" t="s">
        <v>569</v>
      </c>
      <c r="C412" t="s">
        <v>680</v>
      </c>
      <c r="D412" t="s">
        <v>571</v>
      </c>
      <c r="E412">
        <v>8</v>
      </c>
      <c r="G412">
        <v>648</v>
      </c>
      <c r="H412">
        <v>648</v>
      </c>
      <c r="I412">
        <v>668</v>
      </c>
      <c r="J412" t="s">
        <v>556</v>
      </c>
      <c r="K412">
        <v>667.5</v>
      </c>
      <c r="L412">
        <v>0.19220317551396501</v>
      </c>
      <c r="M412">
        <v>0.25507990573968398</v>
      </c>
    </row>
    <row r="413" spans="2:13" x14ac:dyDescent="0.25">
      <c r="B413" t="s">
        <v>572</v>
      </c>
      <c r="C413" t="s">
        <v>680</v>
      </c>
      <c r="D413" t="s">
        <v>573</v>
      </c>
      <c r="E413">
        <v>8</v>
      </c>
      <c r="G413">
        <v>598</v>
      </c>
      <c r="H413">
        <v>598</v>
      </c>
      <c r="I413">
        <v>580</v>
      </c>
      <c r="J413" t="s">
        <v>556</v>
      </c>
      <c r="K413">
        <v>579.5</v>
      </c>
      <c r="L413">
        <v>2.6983432486636202E-2</v>
      </c>
      <c r="M413" t="s">
        <v>554</v>
      </c>
    </row>
    <row r="414" spans="2:13" x14ac:dyDescent="0.25">
      <c r="B414" t="s">
        <v>572</v>
      </c>
      <c r="C414" t="s">
        <v>680</v>
      </c>
      <c r="D414" t="s">
        <v>574</v>
      </c>
      <c r="E414">
        <v>8</v>
      </c>
      <c r="G414">
        <v>561</v>
      </c>
      <c r="H414">
        <v>561</v>
      </c>
      <c r="I414">
        <v>580</v>
      </c>
      <c r="J414" t="s">
        <v>553</v>
      </c>
      <c r="K414">
        <v>579.5</v>
      </c>
      <c r="L414" t="s">
        <v>554</v>
      </c>
      <c r="M414" t="s">
        <v>554</v>
      </c>
    </row>
    <row r="415" spans="2:13" x14ac:dyDescent="0.25">
      <c r="B415" t="s">
        <v>575</v>
      </c>
      <c r="C415" t="s">
        <v>680</v>
      </c>
      <c r="D415" t="s">
        <v>576</v>
      </c>
      <c r="E415">
        <v>8</v>
      </c>
      <c r="G415">
        <v>596</v>
      </c>
      <c r="H415">
        <v>596</v>
      </c>
      <c r="I415">
        <v>579</v>
      </c>
      <c r="J415" t="s">
        <v>556</v>
      </c>
      <c r="K415">
        <v>579</v>
      </c>
      <c r="L415">
        <v>2.01267282426143E-2</v>
      </c>
      <c r="M415" t="s">
        <v>554</v>
      </c>
    </row>
    <row r="416" spans="2:13" x14ac:dyDescent="0.25">
      <c r="B416" t="s">
        <v>575</v>
      </c>
      <c r="C416" t="s">
        <v>680</v>
      </c>
      <c r="D416" t="s">
        <v>577</v>
      </c>
      <c r="E416">
        <v>8</v>
      </c>
      <c r="G416">
        <v>562</v>
      </c>
      <c r="H416">
        <v>562</v>
      </c>
      <c r="I416">
        <v>579</v>
      </c>
      <c r="J416" t="s">
        <v>553</v>
      </c>
      <c r="K416">
        <v>579</v>
      </c>
      <c r="L416" t="s">
        <v>554</v>
      </c>
      <c r="M416" t="s">
        <v>554</v>
      </c>
    </row>
    <row r="417" spans="2:13" x14ac:dyDescent="0.25">
      <c r="B417" t="s">
        <v>578</v>
      </c>
      <c r="C417" t="s">
        <v>680</v>
      </c>
      <c r="D417" t="s">
        <v>580</v>
      </c>
      <c r="E417">
        <v>8</v>
      </c>
      <c r="G417">
        <v>637</v>
      </c>
      <c r="H417">
        <v>637</v>
      </c>
      <c r="I417">
        <v>632</v>
      </c>
      <c r="J417" t="s">
        <v>556</v>
      </c>
      <c r="K417">
        <v>632</v>
      </c>
      <c r="L417">
        <v>0.15639160041296901</v>
      </c>
      <c r="M417">
        <v>0.140021135830491</v>
      </c>
    </row>
    <row r="418" spans="2:13" x14ac:dyDescent="0.25">
      <c r="B418" t="s">
        <v>578</v>
      </c>
      <c r="C418" t="s">
        <v>680</v>
      </c>
      <c r="D418" t="s">
        <v>579</v>
      </c>
      <c r="E418">
        <v>8</v>
      </c>
      <c r="G418">
        <v>627</v>
      </c>
      <c r="H418">
        <v>627</v>
      </c>
      <c r="I418">
        <v>632</v>
      </c>
      <c r="J418" t="s">
        <v>556</v>
      </c>
      <c r="K418">
        <v>632</v>
      </c>
      <c r="L418">
        <v>0.123650671248013</v>
      </c>
      <c r="M418">
        <v>0.140021135830491</v>
      </c>
    </row>
    <row r="419" spans="2:13" x14ac:dyDescent="0.25">
      <c r="B419" t="s">
        <v>581</v>
      </c>
      <c r="C419" t="s">
        <v>680</v>
      </c>
      <c r="D419" t="s">
        <v>582</v>
      </c>
      <c r="E419">
        <v>8</v>
      </c>
      <c r="G419">
        <v>610</v>
      </c>
      <c r="H419">
        <v>610</v>
      </c>
      <c r="I419">
        <v>572</v>
      </c>
      <c r="J419" t="s">
        <v>556</v>
      </c>
      <c r="K419">
        <v>571.5</v>
      </c>
      <c r="L419">
        <v>6.7421447704404294E-2</v>
      </c>
      <c r="M419" t="s">
        <v>554</v>
      </c>
    </row>
    <row r="420" spans="2:13" x14ac:dyDescent="0.25">
      <c r="B420" t="s">
        <v>581</v>
      </c>
      <c r="C420" t="s">
        <v>680</v>
      </c>
      <c r="D420" t="s">
        <v>583</v>
      </c>
      <c r="E420">
        <v>8</v>
      </c>
      <c r="G420">
        <v>533</v>
      </c>
      <c r="H420">
        <v>533</v>
      </c>
      <c r="I420">
        <v>572</v>
      </c>
      <c r="J420" t="s">
        <v>553</v>
      </c>
      <c r="K420">
        <v>571.5</v>
      </c>
      <c r="L420" t="s">
        <v>554</v>
      </c>
      <c r="M420" t="s">
        <v>554</v>
      </c>
    </row>
    <row r="421" spans="2:13" x14ac:dyDescent="0.25">
      <c r="B421" t="s">
        <v>584</v>
      </c>
      <c r="C421" t="s">
        <v>680</v>
      </c>
      <c r="D421" t="s">
        <v>586</v>
      </c>
      <c r="E421">
        <v>8</v>
      </c>
      <c r="G421">
        <v>593</v>
      </c>
      <c r="H421">
        <v>593</v>
      </c>
      <c r="I421">
        <v>581</v>
      </c>
      <c r="J421" t="s">
        <v>556</v>
      </c>
      <c r="K421">
        <v>581</v>
      </c>
      <c r="L421">
        <v>9.7151658185042795E-3</v>
      </c>
      <c r="M421" t="s">
        <v>554</v>
      </c>
    </row>
    <row r="422" spans="2:13" x14ac:dyDescent="0.25">
      <c r="B422" t="s">
        <v>584</v>
      </c>
      <c r="C422" t="s">
        <v>680</v>
      </c>
      <c r="D422" t="s">
        <v>585</v>
      </c>
      <c r="E422">
        <v>8</v>
      </c>
      <c r="G422">
        <v>569</v>
      </c>
      <c r="H422">
        <v>569</v>
      </c>
      <c r="I422">
        <v>581</v>
      </c>
      <c r="J422" t="s">
        <v>553</v>
      </c>
      <c r="K422">
        <v>581</v>
      </c>
      <c r="L422" t="s">
        <v>554</v>
      </c>
      <c r="M422" t="s">
        <v>554</v>
      </c>
    </row>
    <row r="423" spans="2:13" x14ac:dyDescent="0.25">
      <c r="B423" t="s">
        <v>587</v>
      </c>
      <c r="C423" t="s">
        <v>680</v>
      </c>
      <c r="D423" t="s">
        <v>589</v>
      </c>
      <c r="E423">
        <v>8</v>
      </c>
      <c r="G423">
        <v>536</v>
      </c>
      <c r="H423">
        <v>536</v>
      </c>
      <c r="I423">
        <v>560</v>
      </c>
      <c r="J423" t="s">
        <v>553</v>
      </c>
      <c r="K423">
        <v>559.5</v>
      </c>
      <c r="L423" t="s">
        <v>554</v>
      </c>
      <c r="M423" t="s">
        <v>554</v>
      </c>
    </row>
    <row r="424" spans="2:13" x14ac:dyDescent="0.25">
      <c r="B424" t="s">
        <v>587</v>
      </c>
      <c r="C424" t="s">
        <v>680</v>
      </c>
      <c r="D424" t="s">
        <v>588</v>
      </c>
      <c r="E424">
        <v>8</v>
      </c>
      <c r="G424">
        <v>583</v>
      </c>
      <c r="H424">
        <v>583</v>
      </c>
      <c r="I424">
        <v>560</v>
      </c>
      <c r="J424" t="s">
        <v>553</v>
      </c>
      <c r="K424">
        <v>559.5</v>
      </c>
      <c r="L424" t="s">
        <v>554</v>
      </c>
      <c r="M424" t="s">
        <v>554</v>
      </c>
    </row>
    <row r="425" spans="2:13" x14ac:dyDescent="0.25">
      <c r="B425" t="s">
        <v>590</v>
      </c>
      <c r="C425" t="s">
        <v>680</v>
      </c>
      <c r="D425" t="s">
        <v>591</v>
      </c>
      <c r="E425">
        <v>8</v>
      </c>
      <c r="G425">
        <v>620</v>
      </c>
      <c r="H425">
        <v>620</v>
      </c>
      <c r="I425">
        <v>634</v>
      </c>
      <c r="J425" t="s">
        <v>556</v>
      </c>
      <c r="K425">
        <v>633.5</v>
      </c>
      <c r="L425">
        <v>0.10060051725372</v>
      </c>
      <c r="M425">
        <v>0.14477786680454799</v>
      </c>
    </row>
    <row r="426" spans="2:13" x14ac:dyDescent="0.25">
      <c r="B426" t="s">
        <v>590</v>
      </c>
      <c r="C426" t="s">
        <v>680</v>
      </c>
      <c r="D426" t="s">
        <v>592</v>
      </c>
      <c r="E426">
        <v>8</v>
      </c>
      <c r="G426">
        <v>647</v>
      </c>
      <c r="H426">
        <v>647</v>
      </c>
      <c r="I426">
        <v>634</v>
      </c>
      <c r="J426" t="s">
        <v>556</v>
      </c>
      <c r="K426">
        <v>633.5</v>
      </c>
      <c r="L426">
        <v>0.18895521635537599</v>
      </c>
      <c r="M426">
        <v>0.14477786680454799</v>
      </c>
    </row>
    <row r="427" spans="2:13" x14ac:dyDescent="0.25">
      <c r="B427" t="s">
        <v>593</v>
      </c>
      <c r="C427" t="s">
        <v>680</v>
      </c>
      <c r="D427" t="s">
        <v>595</v>
      </c>
      <c r="E427">
        <v>8</v>
      </c>
      <c r="G427">
        <v>578</v>
      </c>
      <c r="H427">
        <v>578</v>
      </c>
      <c r="I427">
        <v>578</v>
      </c>
      <c r="J427" t="s">
        <v>553</v>
      </c>
      <c r="K427">
        <v>578</v>
      </c>
      <c r="L427" t="s">
        <v>554</v>
      </c>
      <c r="M427" t="s">
        <v>554</v>
      </c>
    </row>
    <row r="428" spans="2:13" x14ac:dyDescent="0.25">
      <c r="B428" t="s">
        <v>593</v>
      </c>
      <c r="C428" t="s">
        <v>680</v>
      </c>
      <c r="D428" t="s">
        <v>594</v>
      </c>
      <c r="E428">
        <v>8</v>
      </c>
      <c r="G428">
        <v>578</v>
      </c>
      <c r="H428">
        <v>578</v>
      </c>
      <c r="I428">
        <v>578</v>
      </c>
      <c r="J428" t="s">
        <v>553</v>
      </c>
      <c r="K428">
        <v>578</v>
      </c>
      <c r="L428" t="s">
        <v>554</v>
      </c>
      <c r="M428" t="s">
        <v>554</v>
      </c>
    </row>
    <row r="429" spans="2:13" x14ac:dyDescent="0.25">
      <c r="B429" t="s">
        <v>596</v>
      </c>
      <c r="C429" t="s">
        <v>680</v>
      </c>
      <c r="D429" t="s">
        <v>598</v>
      </c>
      <c r="E429">
        <v>8</v>
      </c>
      <c r="G429">
        <v>584</v>
      </c>
      <c r="H429">
        <v>584</v>
      </c>
      <c r="I429">
        <v>587</v>
      </c>
      <c r="J429" t="s">
        <v>553</v>
      </c>
      <c r="K429">
        <v>586.5</v>
      </c>
      <c r="L429" t="s">
        <v>554</v>
      </c>
      <c r="M429" t="s">
        <v>554</v>
      </c>
    </row>
    <row r="430" spans="2:13" x14ac:dyDescent="0.25">
      <c r="B430" t="s">
        <v>596</v>
      </c>
      <c r="C430" t="s">
        <v>680</v>
      </c>
      <c r="D430" t="s">
        <v>597</v>
      </c>
      <c r="E430">
        <v>8</v>
      </c>
      <c r="G430">
        <v>589</v>
      </c>
      <c r="H430">
        <v>589</v>
      </c>
      <c r="I430">
        <v>587</v>
      </c>
      <c r="J430" t="s">
        <v>553</v>
      </c>
      <c r="K430">
        <v>586.5</v>
      </c>
      <c r="L430" t="s">
        <v>554</v>
      </c>
      <c r="M430" t="s">
        <v>554</v>
      </c>
    </row>
    <row r="431" spans="2:13" x14ac:dyDescent="0.25">
      <c r="B431" t="s">
        <v>599</v>
      </c>
      <c r="C431" t="s">
        <v>680</v>
      </c>
      <c r="D431" t="s">
        <v>600</v>
      </c>
      <c r="E431">
        <v>8</v>
      </c>
      <c r="G431">
        <v>601</v>
      </c>
      <c r="H431">
        <v>601</v>
      </c>
      <c r="I431">
        <v>599</v>
      </c>
      <c r="J431" t="s">
        <v>556</v>
      </c>
      <c r="K431">
        <v>598.5</v>
      </c>
      <c r="L431">
        <v>3.7186948582693703E-2</v>
      </c>
      <c r="M431">
        <v>2.8656838412654002E-2</v>
      </c>
    </row>
    <row r="432" spans="2:13" x14ac:dyDescent="0.25">
      <c r="B432" t="s">
        <v>599</v>
      </c>
      <c r="C432" t="s">
        <v>680</v>
      </c>
      <c r="D432" t="s">
        <v>601</v>
      </c>
      <c r="E432">
        <v>8</v>
      </c>
      <c r="G432">
        <v>596</v>
      </c>
      <c r="H432">
        <v>596</v>
      </c>
      <c r="I432">
        <v>599</v>
      </c>
      <c r="J432" t="s">
        <v>556</v>
      </c>
      <c r="K432">
        <v>598.5</v>
      </c>
      <c r="L432">
        <v>2.01267282426143E-2</v>
      </c>
      <c r="M432">
        <v>2.8656838412654002E-2</v>
      </c>
    </row>
    <row r="433" spans="2:13" x14ac:dyDescent="0.25">
      <c r="B433" t="s">
        <v>602</v>
      </c>
      <c r="C433" t="s">
        <v>680</v>
      </c>
      <c r="D433" t="s">
        <v>603</v>
      </c>
      <c r="E433">
        <v>8</v>
      </c>
      <c r="G433">
        <v>595</v>
      </c>
      <c r="H433">
        <v>595</v>
      </c>
      <c r="I433">
        <v>557</v>
      </c>
      <c r="J433" t="s">
        <v>556</v>
      </c>
      <c r="K433">
        <v>556.5</v>
      </c>
      <c r="L433">
        <v>1.6676639641625801E-2</v>
      </c>
      <c r="M433" t="s">
        <v>554</v>
      </c>
    </row>
    <row r="434" spans="2:13" x14ac:dyDescent="0.25">
      <c r="B434" t="s">
        <v>602</v>
      </c>
      <c r="C434" t="s">
        <v>680</v>
      </c>
      <c r="D434" t="s">
        <v>604</v>
      </c>
      <c r="E434">
        <v>8</v>
      </c>
      <c r="G434">
        <v>518</v>
      </c>
      <c r="H434">
        <v>518</v>
      </c>
      <c r="I434">
        <v>557</v>
      </c>
      <c r="J434" t="s">
        <v>553</v>
      </c>
      <c r="K434">
        <v>556.5</v>
      </c>
      <c r="L434" t="s">
        <v>554</v>
      </c>
      <c r="M434" t="s">
        <v>554</v>
      </c>
    </row>
    <row r="435" spans="2:13" x14ac:dyDescent="0.25">
      <c r="B435" t="s">
        <v>605</v>
      </c>
      <c r="C435" t="s">
        <v>680</v>
      </c>
      <c r="D435" t="s">
        <v>606</v>
      </c>
      <c r="E435">
        <v>8</v>
      </c>
      <c r="G435">
        <v>623</v>
      </c>
      <c r="H435">
        <v>623</v>
      </c>
      <c r="I435">
        <v>594</v>
      </c>
      <c r="J435" t="s">
        <v>556</v>
      </c>
      <c r="K435">
        <v>593.5</v>
      </c>
      <c r="L435">
        <v>0.110494233706825</v>
      </c>
      <c r="M435" t="s">
        <v>554</v>
      </c>
    </row>
    <row r="436" spans="2:13" x14ac:dyDescent="0.25">
      <c r="B436" t="s">
        <v>605</v>
      </c>
      <c r="C436" t="s">
        <v>680</v>
      </c>
      <c r="D436" t="s">
        <v>607</v>
      </c>
      <c r="E436">
        <v>8</v>
      </c>
      <c r="G436">
        <v>564</v>
      </c>
      <c r="H436">
        <v>564</v>
      </c>
      <c r="I436">
        <v>594</v>
      </c>
      <c r="J436" t="s">
        <v>553</v>
      </c>
      <c r="K436">
        <v>593.5</v>
      </c>
      <c r="L436" t="s">
        <v>554</v>
      </c>
      <c r="M436" t="s">
        <v>554</v>
      </c>
    </row>
    <row r="437" spans="2:13" x14ac:dyDescent="0.25">
      <c r="B437" t="s">
        <v>608</v>
      </c>
      <c r="C437" t="s">
        <v>680</v>
      </c>
      <c r="D437" t="s">
        <v>609</v>
      </c>
      <c r="E437">
        <v>8</v>
      </c>
      <c r="G437">
        <v>605</v>
      </c>
      <c r="H437">
        <v>605</v>
      </c>
      <c r="I437">
        <v>603</v>
      </c>
      <c r="J437" t="s">
        <v>556</v>
      </c>
      <c r="K437">
        <v>602.5</v>
      </c>
      <c r="L437">
        <v>5.0681619156545801E-2</v>
      </c>
      <c r="M437">
        <v>4.22382852413219E-2</v>
      </c>
    </row>
    <row r="438" spans="2:13" x14ac:dyDescent="0.25">
      <c r="B438" t="s">
        <v>608</v>
      </c>
      <c r="C438" t="s">
        <v>680</v>
      </c>
      <c r="D438" t="s">
        <v>610</v>
      </c>
      <c r="E438">
        <v>8</v>
      </c>
      <c r="G438">
        <v>600</v>
      </c>
      <c r="H438">
        <v>600</v>
      </c>
      <c r="I438">
        <v>603</v>
      </c>
      <c r="J438" t="s">
        <v>556</v>
      </c>
      <c r="K438">
        <v>602.5</v>
      </c>
      <c r="L438">
        <v>3.3794951326097999E-2</v>
      </c>
      <c r="M438">
        <v>4.22382852413219E-2</v>
      </c>
    </row>
    <row r="439" spans="2:13" x14ac:dyDescent="0.25">
      <c r="B439" t="s">
        <v>611</v>
      </c>
      <c r="C439" t="s">
        <v>680</v>
      </c>
      <c r="D439" t="s">
        <v>612</v>
      </c>
      <c r="E439">
        <v>8</v>
      </c>
      <c r="G439">
        <v>608</v>
      </c>
      <c r="H439">
        <v>608</v>
      </c>
      <c r="I439">
        <v>573</v>
      </c>
      <c r="J439" t="s">
        <v>556</v>
      </c>
      <c r="K439">
        <v>573</v>
      </c>
      <c r="L439">
        <v>6.0740117373008697E-2</v>
      </c>
      <c r="M439" t="s">
        <v>554</v>
      </c>
    </row>
    <row r="440" spans="2:13" x14ac:dyDescent="0.25">
      <c r="B440" t="s">
        <v>611</v>
      </c>
      <c r="C440" t="s">
        <v>680</v>
      </c>
      <c r="D440" t="s">
        <v>613</v>
      </c>
      <c r="E440">
        <v>8</v>
      </c>
      <c r="G440">
        <v>538</v>
      </c>
      <c r="H440">
        <v>538</v>
      </c>
      <c r="I440">
        <v>573</v>
      </c>
      <c r="J440" t="s">
        <v>553</v>
      </c>
      <c r="K440">
        <v>573</v>
      </c>
      <c r="L440" t="s">
        <v>554</v>
      </c>
      <c r="M440" t="s">
        <v>554</v>
      </c>
    </row>
    <row r="441" spans="2:13" x14ac:dyDescent="0.25">
      <c r="B441" t="s">
        <v>614</v>
      </c>
      <c r="C441" t="s">
        <v>680</v>
      </c>
      <c r="D441" t="s">
        <v>616</v>
      </c>
      <c r="E441">
        <v>8</v>
      </c>
      <c r="G441">
        <v>639</v>
      </c>
      <c r="H441">
        <v>639</v>
      </c>
      <c r="I441">
        <v>607</v>
      </c>
      <c r="J441" t="s">
        <v>556</v>
      </c>
      <c r="K441">
        <v>606.5</v>
      </c>
      <c r="L441">
        <v>0.16291728166609001</v>
      </c>
      <c r="M441" t="s">
        <v>554</v>
      </c>
    </row>
    <row r="442" spans="2:13" x14ac:dyDescent="0.25">
      <c r="B442" t="s">
        <v>614</v>
      </c>
      <c r="C442" t="s">
        <v>680</v>
      </c>
      <c r="D442" t="s">
        <v>615</v>
      </c>
      <c r="E442">
        <v>8</v>
      </c>
      <c r="G442">
        <v>574</v>
      </c>
      <c r="H442">
        <v>574</v>
      </c>
      <c r="I442">
        <v>607</v>
      </c>
      <c r="J442" t="s">
        <v>553</v>
      </c>
      <c r="K442">
        <v>606.5</v>
      </c>
      <c r="L442" t="s">
        <v>554</v>
      </c>
      <c r="M442" t="s">
        <v>554</v>
      </c>
    </row>
    <row r="443" spans="2:13" x14ac:dyDescent="0.25">
      <c r="B443" t="s">
        <v>617</v>
      </c>
      <c r="C443" t="s">
        <v>680</v>
      </c>
      <c r="D443" t="s">
        <v>619</v>
      </c>
      <c r="E443">
        <v>8</v>
      </c>
      <c r="G443">
        <v>572</v>
      </c>
      <c r="H443">
        <v>572</v>
      </c>
      <c r="I443">
        <v>573</v>
      </c>
      <c r="J443" t="s">
        <v>553</v>
      </c>
      <c r="K443">
        <v>573</v>
      </c>
      <c r="L443" t="s">
        <v>554</v>
      </c>
      <c r="M443" t="s">
        <v>554</v>
      </c>
    </row>
    <row r="444" spans="2:13" x14ac:dyDescent="0.25">
      <c r="B444" t="s">
        <v>617</v>
      </c>
      <c r="C444" t="s">
        <v>680</v>
      </c>
      <c r="D444" t="s">
        <v>618</v>
      </c>
      <c r="E444">
        <v>8</v>
      </c>
      <c r="G444">
        <v>574</v>
      </c>
      <c r="H444">
        <v>574</v>
      </c>
      <c r="I444">
        <v>573</v>
      </c>
      <c r="J444" t="s">
        <v>553</v>
      </c>
      <c r="K444">
        <v>573</v>
      </c>
      <c r="L444" t="s">
        <v>554</v>
      </c>
      <c r="M444" t="s">
        <v>554</v>
      </c>
    </row>
    <row r="445" spans="2:13" x14ac:dyDescent="0.25">
      <c r="B445" t="s">
        <v>620</v>
      </c>
      <c r="C445" t="s">
        <v>680</v>
      </c>
      <c r="D445" t="s">
        <v>621</v>
      </c>
      <c r="E445">
        <v>8</v>
      </c>
      <c r="G445">
        <v>588</v>
      </c>
      <c r="H445">
        <v>588</v>
      </c>
      <c r="I445">
        <v>590</v>
      </c>
      <c r="J445" t="s">
        <v>553</v>
      </c>
      <c r="K445">
        <v>589.5</v>
      </c>
      <c r="L445" t="s">
        <v>554</v>
      </c>
      <c r="M445" t="s">
        <v>554</v>
      </c>
    </row>
    <row r="446" spans="2:13" x14ac:dyDescent="0.25">
      <c r="B446" t="s">
        <v>620</v>
      </c>
      <c r="C446" t="s">
        <v>680</v>
      </c>
      <c r="D446" t="s">
        <v>622</v>
      </c>
      <c r="E446">
        <v>8</v>
      </c>
      <c r="G446">
        <v>591</v>
      </c>
      <c r="H446">
        <v>591</v>
      </c>
      <c r="I446">
        <v>590</v>
      </c>
      <c r="J446" t="s">
        <v>556</v>
      </c>
      <c r="K446">
        <v>589.5</v>
      </c>
      <c r="L446">
        <v>2.6065141624502402E-3</v>
      </c>
      <c r="M446" t="s">
        <v>554</v>
      </c>
    </row>
    <row r="447" spans="2:13" x14ac:dyDescent="0.25">
      <c r="B447" t="s">
        <v>623</v>
      </c>
      <c r="C447" t="s">
        <v>680</v>
      </c>
      <c r="D447" t="s">
        <v>625</v>
      </c>
      <c r="E447">
        <v>8</v>
      </c>
      <c r="G447">
        <v>565</v>
      </c>
      <c r="H447">
        <v>565</v>
      </c>
      <c r="I447">
        <v>581</v>
      </c>
      <c r="J447" t="s">
        <v>553</v>
      </c>
      <c r="K447">
        <v>580.5</v>
      </c>
      <c r="L447" t="s">
        <v>554</v>
      </c>
      <c r="M447" t="s">
        <v>554</v>
      </c>
    </row>
    <row r="448" spans="2:13" x14ac:dyDescent="0.25">
      <c r="B448" t="s">
        <v>623</v>
      </c>
      <c r="C448" t="s">
        <v>680</v>
      </c>
      <c r="D448" t="s">
        <v>624</v>
      </c>
      <c r="E448">
        <v>8</v>
      </c>
      <c r="G448">
        <v>596</v>
      </c>
      <c r="H448">
        <v>596</v>
      </c>
      <c r="I448">
        <v>581</v>
      </c>
      <c r="J448" t="s">
        <v>556</v>
      </c>
      <c r="K448">
        <v>580.5</v>
      </c>
      <c r="L448">
        <v>2.01267282426143E-2</v>
      </c>
      <c r="M448" t="s">
        <v>554</v>
      </c>
    </row>
    <row r="449" spans="2:13" x14ac:dyDescent="0.25">
      <c r="B449" t="s">
        <v>626</v>
      </c>
      <c r="C449" t="s">
        <v>680</v>
      </c>
      <c r="D449" t="s">
        <v>628</v>
      </c>
      <c r="E449">
        <v>8</v>
      </c>
      <c r="G449">
        <v>544</v>
      </c>
      <c r="H449">
        <v>544</v>
      </c>
      <c r="I449">
        <v>547</v>
      </c>
      <c r="J449" t="s">
        <v>553</v>
      </c>
      <c r="K449">
        <v>546.5</v>
      </c>
      <c r="L449" t="s">
        <v>554</v>
      </c>
      <c r="M449" t="s">
        <v>554</v>
      </c>
    </row>
    <row r="450" spans="2:13" x14ac:dyDescent="0.25">
      <c r="B450" t="s">
        <v>626</v>
      </c>
      <c r="C450" t="s">
        <v>680</v>
      </c>
      <c r="D450" t="s">
        <v>627</v>
      </c>
      <c r="E450">
        <v>8</v>
      </c>
      <c r="G450">
        <v>549</v>
      </c>
      <c r="H450">
        <v>549</v>
      </c>
      <c r="I450">
        <v>547</v>
      </c>
      <c r="J450" t="s">
        <v>553</v>
      </c>
      <c r="K450">
        <v>546.5</v>
      </c>
      <c r="L450" t="s">
        <v>554</v>
      </c>
      <c r="M450" t="s">
        <v>554</v>
      </c>
    </row>
    <row r="451" spans="2:13" x14ac:dyDescent="0.25">
      <c r="B451" t="s">
        <v>629</v>
      </c>
      <c r="C451" t="s">
        <v>680</v>
      </c>
      <c r="D451" t="s">
        <v>630</v>
      </c>
      <c r="E451">
        <v>8</v>
      </c>
      <c r="G451">
        <v>595</v>
      </c>
      <c r="H451">
        <v>595</v>
      </c>
      <c r="I451">
        <v>619</v>
      </c>
      <c r="J451" t="s">
        <v>556</v>
      </c>
      <c r="K451">
        <v>618.5</v>
      </c>
      <c r="L451">
        <v>1.6676639641625801E-2</v>
      </c>
      <c r="M451">
        <v>9.4684945026572598E-2</v>
      </c>
    </row>
    <row r="452" spans="2:13" x14ac:dyDescent="0.25">
      <c r="B452" t="s">
        <v>629</v>
      </c>
      <c r="C452" t="s">
        <v>680</v>
      </c>
      <c r="D452" t="s">
        <v>631</v>
      </c>
      <c r="E452">
        <v>8</v>
      </c>
      <c r="G452">
        <v>642</v>
      </c>
      <c r="H452">
        <v>642</v>
      </c>
      <c r="I452">
        <v>619</v>
      </c>
      <c r="J452" t="s">
        <v>556</v>
      </c>
      <c r="K452">
        <v>618.5</v>
      </c>
      <c r="L452">
        <v>0.17269325041151901</v>
      </c>
      <c r="M452">
        <v>9.4684945026572598E-2</v>
      </c>
    </row>
    <row r="453" spans="2:13" x14ac:dyDescent="0.25">
      <c r="B453" t="s">
        <v>632</v>
      </c>
      <c r="C453" t="s">
        <v>680</v>
      </c>
      <c r="D453" t="s">
        <v>634</v>
      </c>
      <c r="E453">
        <v>8</v>
      </c>
      <c r="G453">
        <v>584</v>
      </c>
      <c r="H453">
        <v>584</v>
      </c>
      <c r="I453">
        <v>574</v>
      </c>
      <c r="J453" t="s">
        <v>553</v>
      </c>
      <c r="K453">
        <v>573.5</v>
      </c>
      <c r="L453" t="s">
        <v>554</v>
      </c>
      <c r="M453" t="s">
        <v>554</v>
      </c>
    </row>
    <row r="454" spans="2:13" x14ac:dyDescent="0.25">
      <c r="B454" t="s">
        <v>632</v>
      </c>
      <c r="C454" t="s">
        <v>680</v>
      </c>
      <c r="D454" t="s">
        <v>633</v>
      </c>
      <c r="E454">
        <v>8</v>
      </c>
      <c r="G454">
        <v>563</v>
      </c>
      <c r="H454">
        <v>563</v>
      </c>
      <c r="I454">
        <v>574</v>
      </c>
      <c r="J454" t="s">
        <v>553</v>
      </c>
      <c r="K454">
        <v>573.5</v>
      </c>
      <c r="L454" t="s">
        <v>554</v>
      </c>
      <c r="M454" t="s">
        <v>554</v>
      </c>
    </row>
    <row r="455" spans="2:13" x14ac:dyDescent="0.25">
      <c r="B455" t="s">
        <v>635</v>
      </c>
      <c r="C455" t="s">
        <v>680</v>
      </c>
      <c r="D455" t="s">
        <v>637</v>
      </c>
      <c r="E455">
        <v>8</v>
      </c>
      <c r="G455">
        <v>572</v>
      </c>
      <c r="H455">
        <v>572</v>
      </c>
      <c r="I455">
        <v>597</v>
      </c>
      <c r="J455" t="s">
        <v>553</v>
      </c>
      <c r="K455">
        <v>597</v>
      </c>
      <c r="L455" t="s">
        <v>554</v>
      </c>
      <c r="M455" t="s">
        <v>554</v>
      </c>
    </row>
    <row r="456" spans="2:13" x14ac:dyDescent="0.25">
      <c r="B456" t="s">
        <v>635</v>
      </c>
      <c r="C456" t="s">
        <v>680</v>
      </c>
      <c r="D456" t="s">
        <v>636</v>
      </c>
      <c r="E456">
        <v>8</v>
      </c>
      <c r="G456">
        <v>622</v>
      </c>
      <c r="H456">
        <v>622</v>
      </c>
      <c r="I456">
        <v>597</v>
      </c>
      <c r="J456" t="s">
        <v>556</v>
      </c>
      <c r="K456">
        <v>597</v>
      </c>
      <c r="L456">
        <v>0.107198974715705</v>
      </c>
      <c r="M456" t="s">
        <v>554</v>
      </c>
    </row>
    <row r="457" spans="2:13" x14ac:dyDescent="0.25">
      <c r="B457" t="s">
        <v>638</v>
      </c>
      <c r="C457" t="s">
        <v>680</v>
      </c>
      <c r="D457" t="s">
        <v>640</v>
      </c>
      <c r="E457">
        <v>8</v>
      </c>
      <c r="G457">
        <v>583</v>
      </c>
      <c r="H457">
        <v>583</v>
      </c>
      <c r="I457">
        <v>608</v>
      </c>
      <c r="J457" t="s">
        <v>553</v>
      </c>
      <c r="K457">
        <v>608</v>
      </c>
      <c r="L457" t="s">
        <v>554</v>
      </c>
      <c r="M457" t="s">
        <v>554</v>
      </c>
    </row>
    <row r="458" spans="2:13" x14ac:dyDescent="0.25">
      <c r="B458" t="s">
        <v>638</v>
      </c>
      <c r="C458" t="s">
        <v>680</v>
      </c>
      <c r="D458" t="s">
        <v>639</v>
      </c>
      <c r="E458">
        <v>8</v>
      </c>
      <c r="G458">
        <v>633</v>
      </c>
      <c r="H458">
        <v>633</v>
      </c>
      <c r="I458">
        <v>608</v>
      </c>
      <c r="J458" t="s">
        <v>556</v>
      </c>
      <c r="K458">
        <v>608</v>
      </c>
      <c r="L458">
        <v>0.143318800939258</v>
      </c>
      <c r="M458" t="s">
        <v>554</v>
      </c>
    </row>
    <row r="459" spans="2:13" x14ac:dyDescent="0.25">
      <c r="B459" t="s">
        <v>641</v>
      </c>
      <c r="C459" t="s">
        <v>680</v>
      </c>
      <c r="D459" t="s">
        <v>642</v>
      </c>
      <c r="E459">
        <v>8</v>
      </c>
      <c r="G459">
        <v>624</v>
      </c>
      <c r="H459">
        <v>624</v>
      </c>
      <c r="I459">
        <v>593</v>
      </c>
      <c r="J459" t="s">
        <v>556</v>
      </c>
      <c r="K459">
        <v>593</v>
      </c>
      <c r="L459">
        <v>0.11378695858072201</v>
      </c>
      <c r="M459" t="s">
        <v>554</v>
      </c>
    </row>
    <row r="460" spans="2:13" x14ac:dyDescent="0.25">
      <c r="B460" t="s">
        <v>641</v>
      </c>
      <c r="C460" t="s">
        <v>680</v>
      </c>
      <c r="D460" t="s">
        <v>643</v>
      </c>
      <c r="E460">
        <v>8</v>
      </c>
      <c r="G460">
        <v>562</v>
      </c>
      <c r="H460">
        <v>562</v>
      </c>
      <c r="I460">
        <v>593</v>
      </c>
      <c r="J460" t="s">
        <v>553</v>
      </c>
      <c r="K460">
        <v>593</v>
      </c>
      <c r="L460" t="s">
        <v>554</v>
      </c>
      <c r="M460" t="s">
        <v>554</v>
      </c>
    </row>
    <row r="461" spans="2:13" x14ac:dyDescent="0.25">
      <c r="B461" t="s">
        <v>644</v>
      </c>
      <c r="C461" t="s">
        <v>680</v>
      </c>
      <c r="D461" t="s">
        <v>646</v>
      </c>
      <c r="E461">
        <v>8</v>
      </c>
      <c r="G461">
        <v>676</v>
      </c>
      <c r="H461">
        <v>676</v>
      </c>
      <c r="I461">
        <v>662</v>
      </c>
      <c r="J461" t="s">
        <v>532</v>
      </c>
      <c r="K461">
        <v>662</v>
      </c>
      <c r="L461">
        <v>0.282645459561844</v>
      </c>
      <c r="M461">
        <v>0.23742431753790399</v>
      </c>
    </row>
    <row r="462" spans="2:13" x14ac:dyDescent="0.25">
      <c r="B462" t="s">
        <v>644</v>
      </c>
      <c r="C462" t="s">
        <v>680</v>
      </c>
      <c r="D462" t="s">
        <v>645</v>
      </c>
      <c r="E462">
        <v>8</v>
      </c>
      <c r="G462">
        <v>648</v>
      </c>
      <c r="H462">
        <v>648</v>
      </c>
      <c r="I462">
        <v>662</v>
      </c>
      <c r="J462" t="s">
        <v>556</v>
      </c>
      <c r="K462">
        <v>662</v>
      </c>
      <c r="L462">
        <v>0.19220317551396501</v>
      </c>
      <c r="M462">
        <v>0.23742431753790399</v>
      </c>
    </row>
    <row r="463" spans="2:13" x14ac:dyDescent="0.25">
      <c r="B463" t="s">
        <v>647</v>
      </c>
      <c r="C463" t="s">
        <v>680</v>
      </c>
      <c r="D463" t="s">
        <v>649</v>
      </c>
      <c r="E463">
        <v>8</v>
      </c>
      <c r="G463">
        <v>560</v>
      </c>
      <c r="H463">
        <v>560</v>
      </c>
      <c r="I463">
        <v>571</v>
      </c>
      <c r="J463" t="s">
        <v>553</v>
      </c>
      <c r="K463">
        <v>571</v>
      </c>
      <c r="L463" t="s">
        <v>554</v>
      </c>
      <c r="M463" t="s">
        <v>554</v>
      </c>
    </row>
    <row r="464" spans="2:13" x14ac:dyDescent="0.25">
      <c r="B464" t="s">
        <v>647</v>
      </c>
      <c r="C464" t="s">
        <v>680</v>
      </c>
      <c r="D464" t="s">
        <v>648</v>
      </c>
      <c r="E464">
        <v>8</v>
      </c>
      <c r="G464">
        <v>582</v>
      </c>
      <c r="H464">
        <v>582</v>
      </c>
      <c r="I464">
        <v>571</v>
      </c>
      <c r="J464" t="s">
        <v>553</v>
      </c>
      <c r="K464">
        <v>571</v>
      </c>
      <c r="L464" t="s">
        <v>554</v>
      </c>
      <c r="M464" t="s">
        <v>554</v>
      </c>
    </row>
    <row r="465" spans="2:13" x14ac:dyDescent="0.25">
      <c r="B465" t="s">
        <v>650</v>
      </c>
      <c r="C465" t="s">
        <v>680</v>
      </c>
      <c r="D465" t="s">
        <v>651</v>
      </c>
      <c r="E465">
        <v>8</v>
      </c>
      <c r="G465">
        <v>601</v>
      </c>
      <c r="H465">
        <v>601</v>
      </c>
      <c r="I465">
        <v>606</v>
      </c>
      <c r="J465" t="s">
        <v>556</v>
      </c>
      <c r="K465">
        <v>605.5</v>
      </c>
      <c r="L465">
        <v>3.7186948582693703E-2</v>
      </c>
      <c r="M465">
        <v>5.2304198143549002E-2</v>
      </c>
    </row>
    <row r="466" spans="2:13" x14ac:dyDescent="0.25">
      <c r="B466" t="s">
        <v>650</v>
      </c>
      <c r="C466" t="s">
        <v>680</v>
      </c>
      <c r="D466" t="s">
        <v>652</v>
      </c>
      <c r="E466">
        <v>8</v>
      </c>
      <c r="G466">
        <v>610</v>
      </c>
      <c r="H466">
        <v>610</v>
      </c>
      <c r="I466">
        <v>606</v>
      </c>
      <c r="J466" t="s">
        <v>556</v>
      </c>
      <c r="K466">
        <v>605.5</v>
      </c>
      <c r="L466">
        <v>6.7421447704404294E-2</v>
      </c>
      <c r="M466">
        <v>5.2304198143549002E-2</v>
      </c>
    </row>
    <row r="467" spans="2:13" x14ac:dyDescent="0.25">
      <c r="B467" t="s">
        <v>653</v>
      </c>
      <c r="C467" t="s">
        <v>680</v>
      </c>
      <c r="D467" t="s">
        <v>654</v>
      </c>
      <c r="E467">
        <v>8</v>
      </c>
      <c r="G467">
        <v>602</v>
      </c>
      <c r="H467">
        <v>602</v>
      </c>
      <c r="I467">
        <v>588</v>
      </c>
      <c r="J467" t="s">
        <v>556</v>
      </c>
      <c r="K467">
        <v>587.5</v>
      </c>
      <c r="L467">
        <v>4.0570968083609903E-2</v>
      </c>
      <c r="M467" t="s">
        <v>554</v>
      </c>
    </row>
    <row r="468" spans="2:13" x14ac:dyDescent="0.25">
      <c r="B468" t="s">
        <v>653</v>
      </c>
      <c r="C468" t="s">
        <v>680</v>
      </c>
      <c r="D468" t="s">
        <v>655</v>
      </c>
      <c r="E468">
        <v>8</v>
      </c>
      <c r="G468">
        <v>573</v>
      </c>
      <c r="H468">
        <v>573</v>
      </c>
      <c r="I468">
        <v>588</v>
      </c>
      <c r="J468" t="s">
        <v>553</v>
      </c>
      <c r="K468">
        <v>587.5</v>
      </c>
      <c r="L468" t="s">
        <v>554</v>
      </c>
      <c r="M468" t="s">
        <v>554</v>
      </c>
    </row>
    <row r="469" spans="2:13" x14ac:dyDescent="0.25">
      <c r="B469" t="s">
        <v>656</v>
      </c>
      <c r="C469" t="s">
        <v>680</v>
      </c>
      <c r="D469" t="s">
        <v>658</v>
      </c>
      <c r="E469">
        <v>8</v>
      </c>
      <c r="G469">
        <v>693</v>
      </c>
      <c r="H469">
        <v>693</v>
      </c>
      <c r="I469">
        <v>701</v>
      </c>
      <c r="J469" t="s">
        <v>532</v>
      </c>
      <c r="K469">
        <v>700.5</v>
      </c>
      <c r="L469">
        <v>0.33717391489721399</v>
      </c>
      <c r="M469">
        <v>0.361135452773506</v>
      </c>
    </row>
    <row r="470" spans="2:13" x14ac:dyDescent="0.25">
      <c r="B470" t="s">
        <v>656</v>
      </c>
      <c r="C470" t="s">
        <v>680</v>
      </c>
      <c r="D470" t="s">
        <v>657</v>
      </c>
      <c r="E470">
        <v>8</v>
      </c>
      <c r="G470">
        <v>708</v>
      </c>
      <c r="H470">
        <v>708</v>
      </c>
      <c r="I470">
        <v>701</v>
      </c>
      <c r="J470" t="s">
        <v>532</v>
      </c>
      <c r="K470">
        <v>700.5</v>
      </c>
      <c r="L470">
        <v>0.38509699064979802</v>
      </c>
      <c r="M470">
        <v>0.361135452773506</v>
      </c>
    </row>
    <row r="471" spans="2:13" x14ac:dyDescent="0.25">
      <c r="B471" t="s">
        <v>659</v>
      </c>
      <c r="C471" t="s">
        <v>680</v>
      </c>
      <c r="D471" t="s">
        <v>660</v>
      </c>
      <c r="E471">
        <v>8</v>
      </c>
      <c r="G471">
        <v>641</v>
      </c>
      <c r="H471">
        <v>641</v>
      </c>
      <c r="I471">
        <v>655</v>
      </c>
      <c r="J471" t="s">
        <v>556</v>
      </c>
      <c r="K471">
        <v>654.5</v>
      </c>
      <c r="L471">
        <v>0.169436222198275</v>
      </c>
      <c r="M471">
        <v>0.21316489305755101</v>
      </c>
    </row>
    <row r="472" spans="2:13" x14ac:dyDescent="0.25">
      <c r="B472" t="s">
        <v>659</v>
      </c>
      <c r="C472" t="s">
        <v>680</v>
      </c>
      <c r="D472" t="s">
        <v>661</v>
      </c>
      <c r="E472">
        <v>8</v>
      </c>
      <c r="G472">
        <v>668</v>
      </c>
      <c r="H472">
        <v>668</v>
      </c>
      <c r="I472">
        <v>655</v>
      </c>
      <c r="J472" t="s">
        <v>556</v>
      </c>
      <c r="K472">
        <v>654.5</v>
      </c>
      <c r="L472">
        <v>0.25689356391682699</v>
      </c>
      <c r="M472">
        <v>0.21316489305755101</v>
      </c>
    </row>
    <row r="473" spans="2:13" x14ac:dyDescent="0.25">
      <c r="B473" t="s">
        <v>662</v>
      </c>
      <c r="C473" t="s">
        <v>680</v>
      </c>
      <c r="D473" t="s">
        <v>663</v>
      </c>
      <c r="E473">
        <v>8</v>
      </c>
      <c r="G473">
        <v>555</v>
      </c>
      <c r="H473">
        <v>555</v>
      </c>
      <c r="I473">
        <v>592</v>
      </c>
      <c r="J473" t="s">
        <v>553</v>
      </c>
      <c r="K473">
        <v>591.5</v>
      </c>
      <c r="L473" t="s">
        <v>554</v>
      </c>
      <c r="M473" t="s">
        <v>554</v>
      </c>
    </row>
    <row r="474" spans="2:13" x14ac:dyDescent="0.25">
      <c r="B474" t="s">
        <v>662</v>
      </c>
      <c r="C474" t="s">
        <v>680</v>
      </c>
      <c r="D474" t="s">
        <v>664</v>
      </c>
      <c r="E474">
        <v>8</v>
      </c>
      <c r="G474">
        <v>628</v>
      </c>
      <c r="H474">
        <v>628</v>
      </c>
      <c r="I474">
        <v>592</v>
      </c>
      <c r="J474" t="s">
        <v>556</v>
      </c>
      <c r="K474">
        <v>591.5</v>
      </c>
      <c r="L474">
        <v>0.12693398316280299</v>
      </c>
      <c r="M474" t="s">
        <v>554</v>
      </c>
    </row>
    <row r="475" spans="2:13" x14ac:dyDescent="0.25">
      <c r="B475" t="s">
        <v>665</v>
      </c>
      <c r="C475" t="s">
        <v>680</v>
      </c>
      <c r="D475" t="s">
        <v>667</v>
      </c>
      <c r="E475">
        <v>8</v>
      </c>
      <c r="G475">
        <v>639</v>
      </c>
      <c r="H475">
        <v>639</v>
      </c>
      <c r="I475">
        <v>612</v>
      </c>
      <c r="J475" t="s">
        <v>556</v>
      </c>
      <c r="K475">
        <v>612</v>
      </c>
      <c r="L475">
        <v>0.16291728166609001</v>
      </c>
      <c r="M475" t="s">
        <v>554</v>
      </c>
    </row>
    <row r="476" spans="2:13" x14ac:dyDescent="0.25">
      <c r="B476" t="s">
        <v>665</v>
      </c>
      <c r="C476" t="s">
        <v>680</v>
      </c>
      <c r="D476" t="s">
        <v>666</v>
      </c>
      <c r="E476">
        <v>8</v>
      </c>
      <c r="G476">
        <v>585</v>
      </c>
      <c r="H476">
        <v>585</v>
      </c>
      <c r="I476">
        <v>612</v>
      </c>
      <c r="J476" t="s">
        <v>553</v>
      </c>
      <c r="K476">
        <v>612</v>
      </c>
      <c r="L476" t="s">
        <v>554</v>
      </c>
      <c r="M476" t="s">
        <v>554</v>
      </c>
    </row>
    <row r="477" spans="2:13" x14ac:dyDescent="0.25">
      <c r="B477" t="s">
        <v>668</v>
      </c>
      <c r="C477" t="s">
        <v>680</v>
      </c>
      <c r="D477" t="s">
        <v>670</v>
      </c>
      <c r="E477">
        <v>8</v>
      </c>
      <c r="G477">
        <v>634</v>
      </c>
      <c r="H477">
        <v>634</v>
      </c>
      <c r="I477">
        <v>608</v>
      </c>
      <c r="J477" t="s">
        <v>556</v>
      </c>
      <c r="K477">
        <v>607.5</v>
      </c>
      <c r="L477">
        <v>0.146589782140846</v>
      </c>
      <c r="M477" t="s">
        <v>554</v>
      </c>
    </row>
    <row r="478" spans="2:13" x14ac:dyDescent="0.25">
      <c r="B478" t="s">
        <v>668</v>
      </c>
      <c r="C478" t="s">
        <v>680</v>
      </c>
      <c r="D478" t="s">
        <v>669</v>
      </c>
      <c r="E478">
        <v>8</v>
      </c>
      <c r="G478">
        <v>581</v>
      </c>
      <c r="H478">
        <v>581</v>
      </c>
      <c r="I478">
        <v>608</v>
      </c>
      <c r="J478" t="s">
        <v>553</v>
      </c>
      <c r="K478">
        <v>607.5</v>
      </c>
      <c r="L478" t="s">
        <v>554</v>
      </c>
      <c r="M478" t="s">
        <v>554</v>
      </c>
    </row>
    <row r="479" spans="2:13" x14ac:dyDescent="0.25">
      <c r="B479" t="s">
        <v>671</v>
      </c>
      <c r="C479" t="s">
        <v>680</v>
      </c>
      <c r="D479" t="s">
        <v>673</v>
      </c>
      <c r="E479">
        <v>8</v>
      </c>
      <c r="G479">
        <v>709</v>
      </c>
      <c r="H479">
        <v>709</v>
      </c>
      <c r="I479">
        <v>695</v>
      </c>
      <c r="J479" t="s">
        <v>532</v>
      </c>
      <c r="K479">
        <v>695</v>
      </c>
      <c r="L479">
        <v>0.38828617028536899</v>
      </c>
      <c r="M479">
        <v>0.34349774100939001</v>
      </c>
    </row>
    <row r="480" spans="2:13" x14ac:dyDescent="0.25">
      <c r="B480" t="s">
        <v>671</v>
      </c>
      <c r="C480" t="s">
        <v>680</v>
      </c>
      <c r="D480" t="s">
        <v>672</v>
      </c>
      <c r="E480">
        <v>8</v>
      </c>
      <c r="G480">
        <v>681</v>
      </c>
      <c r="H480">
        <v>681</v>
      </c>
      <c r="I480">
        <v>695</v>
      </c>
      <c r="J480" t="s">
        <v>532</v>
      </c>
      <c r="K480">
        <v>695</v>
      </c>
      <c r="L480">
        <v>0.29870931173341098</v>
      </c>
      <c r="M480">
        <v>0.34349774100939001</v>
      </c>
    </row>
    <row r="481" spans="2:13" x14ac:dyDescent="0.25">
      <c r="B481" t="s">
        <v>674</v>
      </c>
      <c r="C481" t="s">
        <v>680</v>
      </c>
      <c r="D481" t="s">
        <v>675</v>
      </c>
      <c r="E481">
        <v>8</v>
      </c>
      <c r="G481">
        <v>699</v>
      </c>
      <c r="H481">
        <v>699</v>
      </c>
      <c r="I481">
        <v>702</v>
      </c>
      <c r="J481" t="s">
        <v>532</v>
      </c>
      <c r="K481">
        <v>701.5</v>
      </c>
      <c r="L481">
        <v>0.35636294880581998</v>
      </c>
      <c r="M481">
        <v>0.364348170961171</v>
      </c>
    </row>
    <row r="482" spans="2:13" x14ac:dyDescent="0.25">
      <c r="B482" t="s">
        <v>674</v>
      </c>
      <c r="C482" t="s">
        <v>680</v>
      </c>
      <c r="D482" t="s">
        <v>676</v>
      </c>
      <c r="E482">
        <v>8</v>
      </c>
      <c r="G482">
        <v>704</v>
      </c>
      <c r="H482">
        <v>704</v>
      </c>
      <c r="I482">
        <v>702</v>
      </c>
      <c r="J482" t="s">
        <v>532</v>
      </c>
      <c r="K482">
        <v>701.5</v>
      </c>
      <c r="L482">
        <v>0.37233339311652203</v>
      </c>
      <c r="M482">
        <v>0.364348170961171</v>
      </c>
    </row>
    <row r="483" spans="2:13" x14ac:dyDescent="0.25">
      <c r="B483" t="s">
        <v>527</v>
      </c>
      <c r="C483" t="s">
        <v>681</v>
      </c>
      <c r="D483" t="s">
        <v>529</v>
      </c>
      <c r="E483">
        <v>9</v>
      </c>
      <c r="F483">
        <v>27900</v>
      </c>
      <c r="G483">
        <v>997552</v>
      </c>
      <c r="H483">
        <v>997552</v>
      </c>
      <c r="I483">
        <v>1027914</v>
      </c>
      <c r="J483" t="s">
        <v>532</v>
      </c>
      <c r="K483">
        <v>1027914</v>
      </c>
      <c r="L483">
        <v>26831.338077975801</v>
      </c>
      <c r="M483">
        <v>27589.118309654801</v>
      </c>
    </row>
    <row r="484" spans="2:13" x14ac:dyDescent="0.25">
      <c r="B484" t="s">
        <v>527</v>
      </c>
      <c r="C484" t="s">
        <v>681</v>
      </c>
      <c r="D484" t="s">
        <v>531</v>
      </c>
      <c r="E484">
        <v>9</v>
      </c>
      <c r="F484">
        <v>27900</v>
      </c>
      <c r="G484">
        <v>1058276</v>
      </c>
      <c r="H484">
        <v>1058276</v>
      </c>
      <c r="I484">
        <v>1027914</v>
      </c>
      <c r="J484" t="s">
        <v>530</v>
      </c>
      <c r="K484">
        <v>1027914</v>
      </c>
      <c r="L484">
        <v>28346.8985413339</v>
      </c>
      <c r="M484">
        <v>27589.118309654801</v>
      </c>
    </row>
    <row r="485" spans="2:13" x14ac:dyDescent="0.25">
      <c r="B485" t="s">
        <v>533</v>
      </c>
      <c r="C485" t="s">
        <v>681</v>
      </c>
      <c r="D485" t="s">
        <v>535</v>
      </c>
      <c r="E485">
        <v>9</v>
      </c>
      <c r="F485">
        <v>6975</v>
      </c>
      <c r="G485">
        <v>231867</v>
      </c>
      <c r="H485">
        <v>231867</v>
      </c>
      <c r="I485">
        <v>228766</v>
      </c>
      <c r="J485" t="s">
        <v>532</v>
      </c>
      <c r="K485">
        <v>228765.5</v>
      </c>
      <c r="L485">
        <v>7495.0150109886899</v>
      </c>
      <c r="M485">
        <v>7410.2562920781002</v>
      </c>
    </row>
    <row r="486" spans="2:13" x14ac:dyDescent="0.25">
      <c r="B486" t="s">
        <v>533</v>
      </c>
      <c r="C486" t="s">
        <v>681</v>
      </c>
      <c r="D486" t="s">
        <v>534</v>
      </c>
      <c r="E486">
        <v>9</v>
      </c>
      <c r="F486">
        <v>6975</v>
      </c>
      <c r="G486">
        <v>225664</v>
      </c>
      <c r="H486">
        <v>225664</v>
      </c>
      <c r="I486">
        <v>228766</v>
      </c>
      <c r="J486" t="s">
        <v>532</v>
      </c>
      <c r="K486">
        <v>228765.5</v>
      </c>
      <c r="L486">
        <v>7325.4975731675204</v>
      </c>
      <c r="M486">
        <v>7410.2562920781002</v>
      </c>
    </row>
    <row r="487" spans="2:13" x14ac:dyDescent="0.25">
      <c r="B487" t="s">
        <v>536</v>
      </c>
      <c r="C487" t="s">
        <v>681</v>
      </c>
      <c r="D487" t="s">
        <v>537</v>
      </c>
      <c r="E487">
        <v>9</v>
      </c>
      <c r="F487">
        <v>1743.75</v>
      </c>
      <c r="G487">
        <v>39737</v>
      </c>
      <c r="H487">
        <v>39737</v>
      </c>
      <c r="I487">
        <v>40032</v>
      </c>
      <c r="J487" t="s">
        <v>532</v>
      </c>
      <c r="K487">
        <v>40032</v>
      </c>
      <c r="L487">
        <v>1721.91428478276</v>
      </c>
      <c r="M487">
        <v>1732.5173263112699</v>
      </c>
    </row>
    <row r="488" spans="2:13" x14ac:dyDescent="0.25">
      <c r="B488" t="s">
        <v>536</v>
      </c>
      <c r="C488" t="s">
        <v>681</v>
      </c>
      <c r="D488" t="s">
        <v>538</v>
      </c>
      <c r="E488">
        <v>9</v>
      </c>
      <c r="F488">
        <v>1743.75</v>
      </c>
      <c r="G488">
        <v>40327</v>
      </c>
      <c r="H488">
        <v>40327</v>
      </c>
      <c r="I488">
        <v>40032</v>
      </c>
      <c r="J488" t="s">
        <v>532</v>
      </c>
      <c r="K488">
        <v>40032</v>
      </c>
      <c r="L488">
        <v>1743.1203678397801</v>
      </c>
      <c r="M488">
        <v>1732.5173263112699</v>
      </c>
    </row>
    <row r="489" spans="2:13" x14ac:dyDescent="0.25">
      <c r="B489" t="s">
        <v>539</v>
      </c>
      <c r="C489" t="s">
        <v>681</v>
      </c>
      <c r="D489" t="s">
        <v>540</v>
      </c>
      <c r="E489">
        <v>9</v>
      </c>
      <c r="F489">
        <v>435.9375</v>
      </c>
      <c r="G489">
        <v>7063</v>
      </c>
      <c r="H489">
        <v>7063</v>
      </c>
      <c r="I489">
        <v>7143</v>
      </c>
      <c r="J489" t="s">
        <v>532</v>
      </c>
      <c r="K489">
        <v>7143</v>
      </c>
      <c r="L489">
        <v>404.03343916075602</v>
      </c>
      <c r="M489">
        <v>407.94864689809401</v>
      </c>
    </row>
    <row r="490" spans="2:13" x14ac:dyDescent="0.25">
      <c r="B490" t="s">
        <v>539</v>
      </c>
      <c r="C490" t="s">
        <v>681</v>
      </c>
      <c r="D490" t="s">
        <v>541</v>
      </c>
      <c r="E490">
        <v>9</v>
      </c>
      <c r="F490">
        <v>435.9375</v>
      </c>
      <c r="G490">
        <v>7223</v>
      </c>
      <c r="H490">
        <v>7223</v>
      </c>
      <c r="I490">
        <v>7143</v>
      </c>
      <c r="J490" t="s">
        <v>532</v>
      </c>
      <c r="K490">
        <v>7143</v>
      </c>
      <c r="L490">
        <v>411.86385463543297</v>
      </c>
      <c r="M490">
        <v>407.94864689809401</v>
      </c>
    </row>
    <row r="491" spans="2:13" x14ac:dyDescent="0.25">
      <c r="B491" t="s">
        <v>542</v>
      </c>
      <c r="C491" t="s">
        <v>681</v>
      </c>
      <c r="D491" t="s">
        <v>544</v>
      </c>
      <c r="E491">
        <v>9</v>
      </c>
      <c r="F491">
        <v>108.984375</v>
      </c>
      <c r="G491">
        <v>1691</v>
      </c>
      <c r="H491">
        <v>1691</v>
      </c>
      <c r="I491">
        <v>1663</v>
      </c>
      <c r="J491" t="s">
        <v>532</v>
      </c>
      <c r="K491">
        <v>1662.5</v>
      </c>
      <c r="L491">
        <v>110.441764831903</v>
      </c>
      <c r="M491">
        <v>108.581147789208</v>
      </c>
    </row>
    <row r="492" spans="2:13" x14ac:dyDescent="0.25">
      <c r="B492" t="s">
        <v>542</v>
      </c>
      <c r="C492" t="s">
        <v>681</v>
      </c>
      <c r="D492" t="s">
        <v>543</v>
      </c>
      <c r="E492">
        <v>9</v>
      </c>
      <c r="F492">
        <v>108.984375</v>
      </c>
      <c r="G492">
        <v>1634</v>
      </c>
      <c r="H492">
        <v>1634</v>
      </c>
      <c r="I492">
        <v>1663</v>
      </c>
      <c r="J492" t="s">
        <v>532</v>
      </c>
      <c r="K492">
        <v>1662.5</v>
      </c>
      <c r="L492">
        <v>106.720530746512</v>
      </c>
      <c r="M492">
        <v>108.581147789208</v>
      </c>
    </row>
    <row r="493" spans="2:13" x14ac:dyDescent="0.25">
      <c r="B493" t="s">
        <v>545</v>
      </c>
      <c r="C493" t="s">
        <v>681</v>
      </c>
      <c r="D493" t="s">
        <v>547</v>
      </c>
      <c r="E493">
        <v>9</v>
      </c>
      <c r="F493">
        <v>27.24609375</v>
      </c>
      <c r="G493">
        <v>615</v>
      </c>
      <c r="H493">
        <v>615</v>
      </c>
      <c r="I493">
        <v>608</v>
      </c>
      <c r="J493" t="s">
        <v>532</v>
      </c>
      <c r="K493">
        <v>607.5</v>
      </c>
      <c r="L493">
        <v>32.812034662712101</v>
      </c>
      <c r="M493">
        <v>32.173372700481004</v>
      </c>
    </row>
    <row r="494" spans="2:13" x14ac:dyDescent="0.25">
      <c r="B494" t="s">
        <v>545</v>
      </c>
      <c r="C494" t="s">
        <v>681</v>
      </c>
      <c r="D494" t="s">
        <v>546</v>
      </c>
      <c r="E494">
        <v>9</v>
      </c>
      <c r="F494">
        <v>27.24609375</v>
      </c>
      <c r="G494">
        <v>600</v>
      </c>
      <c r="H494">
        <v>600</v>
      </c>
      <c r="I494">
        <v>608</v>
      </c>
      <c r="J494" t="s">
        <v>532</v>
      </c>
      <c r="K494">
        <v>607.5</v>
      </c>
      <c r="L494">
        <v>31.534710738249899</v>
      </c>
      <c r="M494">
        <v>32.173372700481004</v>
      </c>
    </row>
    <row r="495" spans="2:13" x14ac:dyDescent="0.25">
      <c r="B495" t="s">
        <v>548</v>
      </c>
      <c r="C495" t="s">
        <v>681</v>
      </c>
      <c r="D495" t="s">
        <v>550</v>
      </c>
      <c r="E495">
        <v>9</v>
      </c>
      <c r="F495">
        <v>6.8115234375</v>
      </c>
      <c r="G495">
        <v>353</v>
      </c>
      <c r="H495">
        <v>353</v>
      </c>
      <c r="I495">
        <v>354</v>
      </c>
      <c r="J495" t="s">
        <v>532</v>
      </c>
      <c r="K495">
        <v>353.5</v>
      </c>
      <c r="L495">
        <v>7.8490032875042202</v>
      </c>
      <c r="M495">
        <v>7.9068678785499698</v>
      </c>
    </row>
    <row r="496" spans="2:13" x14ac:dyDescent="0.25">
      <c r="B496" t="s">
        <v>548</v>
      </c>
      <c r="C496" t="s">
        <v>681</v>
      </c>
      <c r="D496" t="s">
        <v>549</v>
      </c>
      <c r="E496">
        <v>9</v>
      </c>
      <c r="F496">
        <v>6.8115234375</v>
      </c>
      <c r="G496">
        <v>354</v>
      </c>
      <c r="H496">
        <v>354</v>
      </c>
      <c r="I496">
        <v>354</v>
      </c>
      <c r="J496" t="s">
        <v>532</v>
      </c>
      <c r="K496">
        <v>353.5</v>
      </c>
      <c r="L496">
        <v>7.9647324695957202</v>
      </c>
      <c r="M496">
        <v>7.9068678785499698</v>
      </c>
    </row>
    <row r="497" spans="2:13" x14ac:dyDescent="0.25">
      <c r="B497" t="s">
        <v>551</v>
      </c>
      <c r="C497" t="s">
        <v>681</v>
      </c>
      <c r="D497" t="s">
        <v>555</v>
      </c>
      <c r="E497">
        <v>9</v>
      </c>
      <c r="F497">
        <v>0</v>
      </c>
      <c r="G497">
        <v>285</v>
      </c>
      <c r="H497">
        <v>285</v>
      </c>
      <c r="I497">
        <v>281</v>
      </c>
      <c r="J497" t="s">
        <v>553</v>
      </c>
      <c r="K497">
        <v>280.5</v>
      </c>
      <c r="L497" t="s">
        <v>554</v>
      </c>
      <c r="M497" t="s">
        <v>554</v>
      </c>
    </row>
    <row r="498" spans="2:13" x14ac:dyDescent="0.25">
      <c r="B498" t="s">
        <v>551</v>
      </c>
      <c r="C498" t="s">
        <v>681</v>
      </c>
      <c r="D498" t="s">
        <v>552</v>
      </c>
      <c r="E498">
        <v>9</v>
      </c>
      <c r="F498">
        <v>0</v>
      </c>
      <c r="G498">
        <v>276</v>
      </c>
      <c r="H498">
        <v>276</v>
      </c>
      <c r="I498">
        <v>281</v>
      </c>
      <c r="J498" t="s">
        <v>553</v>
      </c>
      <c r="K498">
        <v>280.5</v>
      </c>
      <c r="L498" t="s">
        <v>554</v>
      </c>
      <c r="M498" t="s">
        <v>554</v>
      </c>
    </row>
    <row r="499" spans="2:13" x14ac:dyDescent="0.25">
      <c r="B499" t="s">
        <v>557</v>
      </c>
      <c r="C499" t="s">
        <v>681</v>
      </c>
      <c r="D499" t="s">
        <v>559</v>
      </c>
      <c r="E499">
        <v>9</v>
      </c>
      <c r="G499">
        <v>288</v>
      </c>
      <c r="H499">
        <v>288</v>
      </c>
      <c r="I499">
        <v>294</v>
      </c>
      <c r="J499" t="s">
        <v>553</v>
      </c>
      <c r="K499">
        <v>294</v>
      </c>
      <c r="L499" t="s">
        <v>554</v>
      </c>
      <c r="M499" t="s">
        <v>554</v>
      </c>
    </row>
    <row r="500" spans="2:13" x14ac:dyDescent="0.25">
      <c r="B500" t="s">
        <v>557</v>
      </c>
      <c r="C500" t="s">
        <v>681</v>
      </c>
      <c r="D500" t="s">
        <v>558</v>
      </c>
      <c r="E500">
        <v>9</v>
      </c>
      <c r="G500">
        <v>300</v>
      </c>
      <c r="H500">
        <v>300</v>
      </c>
      <c r="I500">
        <v>294</v>
      </c>
      <c r="J500" t="s">
        <v>556</v>
      </c>
      <c r="K500">
        <v>294</v>
      </c>
      <c r="L500">
        <v>0.62911691962292005</v>
      </c>
      <c r="M500" t="s">
        <v>554</v>
      </c>
    </row>
    <row r="501" spans="2:13" x14ac:dyDescent="0.25">
      <c r="B501" t="s">
        <v>560</v>
      </c>
      <c r="C501" t="s">
        <v>681</v>
      </c>
      <c r="D501" t="s">
        <v>562</v>
      </c>
      <c r="E501">
        <v>9</v>
      </c>
      <c r="G501">
        <v>302</v>
      </c>
      <c r="H501">
        <v>302</v>
      </c>
      <c r="I501">
        <v>298</v>
      </c>
      <c r="J501" t="s">
        <v>556</v>
      </c>
      <c r="K501">
        <v>298</v>
      </c>
      <c r="L501">
        <v>1.00965913439791</v>
      </c>
      <c r="M501" t="s">
        <v>554</v>
      </c>
    </row>
    <row r="502" spans="2:13" x14ac:dyDescent="0.25">
      <c r="B502" t="s">
        <v>560</v>
      </c>
      <c r="C502" t="s">
        <v>681</v>
      </c>
      <c r="D502" t="s">
        <v>561</v>
      </c>
      <c r="E502">
        <v>9</v>
      </c>
      <c r="G502">
        <v>294</v>
      </c>
      <c r="H502">
        <v>294</v>
      </c>
      <c r="I502">
        <v>298</v>
      </c>
      <c r="J502" t="s">
        <v>553</v>
      </c>
      <c r="K502">
        <v>298</v>
      </c>
      <c r="L502" t="s">
        <v>554</v>
      </c>
      <c r="M502" t="s">
        <v>554</v>
      </c>
    </row>
    <row r="503" spans="2:13" x14ac:dyDescent="0.25">
      <c r="B503" t="s">
        <v>563</v>
      </c>
      <c r="C503" t="s">
        <v>681</v>
      </c>
      <c r="D503" t="s">
        <v>565</v>
      </c>
      <c r="E503">
        <v>9</v>
      </c>
      <c r="G503">
        <v>289</v>
      </c>
      <c r="H503">
        <v>289</v>
      </c>
      <c r="I503">
        <v>297</v>
      </c>
      <c r="J503" t="s">
        <v>553</v>
      </c>
      <c r="K503">
        <v>296.5</v>
      </c>
      <c r="L503" t="s">
        <v>554</v>
      </c>
      <c r="M503" t="s">
        <v>554</v>
      </c>
    </row>
    <row r="504" spans="2:13" x14ac:dyDescent="0.25">
      <c r="B504" t="s">
        <v>563</v>
      </c>
      <c r="C504" t="s">
        <v>681</v>
      </c>
      <c r="D504" t="s">
        <v>564</v>
      </c>
      <c r="E504">
        <v>9</v>
      </c>
      <c r="G504">
        <v>304</v>
      </c>
      <c r="H504">
        <v>304</v>
      </c>
      <c r="I504">
        <v>297</v>
      </c>
      <c r="J504" t="s">
        <v>556</v>
      </c>
      <c r="K504">
        <v>296.5</v>
      </c>
      <c r="L504">
        <v>1.3603820021509601</v>
      </c>
      <c r="M504" t="s">
        <v>554</v>
      </c>
    </row>
    <row r="505" spans="2:13" x14ac:dyDescent="0.25">
      <c r="B505" t="s">
        <v>566</v>
      </c>
      <c r="C505" t="s">
        <v>681</v>
      </c>
      <c r="D505" t="s">
        <v>568</v>
      </c>
      <c r="E505">
        <v>9</v>
      </c>
      <c r="G505">
        <v>290</v>
      </c>
      <c r="H505">
        <v>290</v>
      </c>
      <c r="I505">
        <v>291</v>
      </c>
      <c r="J505" t="s">
        <v>553</v>
      </c>
      <c r="K505">
        <v>290.5</v>
      </c>
      <c r="L505" t="s">
        <v>554</v>
      </c>
      <c r="M505" t="s">
        <v>554</v>
      </c>
    </row>
    <row r="506" spans="2:13" x14ac:dyDescent="0.25">
      <c r="B506" t="s">
        <v>566</v>
      </c>
      <c r="C506" t="s">
        <v>681</v>
      </c>
      <c r="D506" t="s">
        <v>567</v>
      </c>
      <c r="E506">
        <v>9</v>
      </c>
      <c r="G506">
        <v>291</v>
      </c>
      <c r="H506">
        <v>291</v>
      </c>
      <c r="I506">
        <v>291</v>
      </c>
      <c r="J506" t="s">
        <v>553</v>
      </c>
      <c r="K506">
        <v>290.5</v>
      </c>
      <c r="L506" t="s">
        <v>554</v>
      </c>
      <c r="M506" t="s">
        <v>554</v>
      </c>
    </row>
    <row r="507" spans="2:13" x14ac:dyDescent="0.25">
      <c r="B507" t="s">
        <v>569</v>
      </c>
      <c r="C507" t="s">
        <v>681</v>
      </c>
      <c r="D507" t="s">
        <v>570</v>
      </c>
      <c r="E507">
        <v>9</v>
      </c>
      <c r="G507">
        <v>341</v>
      </c>
      <c r="H507">
        <v>341</v>
      </c>
      <c r="I507">
        <v>344</v>
      </c>
      <c r="J507" t="s">
        <v>532</v>
      </c>
      <c r="K507">
        <v>344</v>
      </c>
      <c r="L507">
        <v>6.4284757123381704</v>
      </c>
      <c r="M507">
        <v>6.7874741152682097</v>
      </c>
    </row>
    <row r="508" spans="2:13" x14ac:dyDescent="0.25">
      <c r="B508" t="s">
        <v>569</v>
      </c>
      <c r="C508" t="s">
        <v>681</v>
      </c>
      <c r="D508" t="s">
        <v>571</v>
      </c>
      <c r="E508">
        <v>9</v>
      </c>
      <c r="G508">
        <v>347</v>
      </c>
      <c r="H508">
        <v>347</v>
      </c>
      <c r="I508">
        <v>344</v>
      </c>
      <c r="J508" t="s">
        <v>532</v>
      </c>
      <c r="K508">
        <v>344</v>
      </c>
      <c r="L508">
        <v>7.1464725181982596</v>
      </c>
      <c r="M508">
        <v>6.7874741152682097</v>
      </c>
    </row>
    <row r="509" spans="2:13" x14ac:dyDescent="0.25">
      <c r="B509" t="s">
        <v>572</v>
      </c>
      <c r="C509" t="s">
        <v>681</v>
      </c>
      <c r="D509" t="s">
        <v>573</v>
      </c>
      <c r="E509">
        <v>9</v>
      </c>
      <c r="G509">
        <v>306</v>
      </c>
      <c r="H509">
        <v>306</v>
      </c>
      <c r="I509">
        <v>316</v>
      </c>
      <c r="J509" t="s">
        <v>556</v>
      </c>
      <c r="K509">
        <v>316</v>
      </c>
      <c r="L509">
        <v>1.6921305172552501</v>
      </c>
      <c r="M509">
        <v>3.1193878588598301</v>
      </c>
    </row>
    <row r="510" spans="2:13" x14ac:dyDescent="0.25">
      <c r="B510" t="s">
        <v>572</v>
      </c>
      <c r="C510" t="s">
        <v>681</v>
      </c>
      <c r="D510" t="s">
        <v>574</v>
      </c>
      <c r="E510">
        <v>9</v>
      </c>
      <c r="G510">
        <v>326</v>
      </c>
      <c r="H510">
        <v>326</v>
      </c>
      <c r="I510">
        <v>316</v>
      </c>
      <c r="J510" t="s">
        <v>556</v>
      </c>
      <c r="K510">
        <v>316</v>
      </c>
      <c r="L510">
        <v>4.5466452004644102</v>
      </c>
      <c r="M510">
        <v>3.1193878588598301</v>
      </c>
    </row>
    <row r="511" spans="2:13" x14ac:dyDescent="0.25">
      <c r="B511" t="s">
        <v>575</v>
      </c>
      <c r="C511" t="s">
        <v>681</v>
      </c>
      <c r="D511" t="s">
        <v>576</v>
      </c>
      <c r="E511">
        <v>9</v>
      </c>
      <c r="G511">
        <v>308</v>
      </c>
      <c r="H511">
        <v>308</v>
      </c>
      <c r="I511">
        <v>320</v>
      </c>
      <c r="J511" t="s">
        <v>556</v>
      </c>
      <c r="K511">
        <v>319.5</v>
      </c>
      <c r="L511">
        <v>2.0101322456288502</v>
      </c>
      <c r="M511">
        <v>3.6001138999341902</v>
      </c>
    </row>
    <row r="512" spans="2:13" x14ac:dyDescent="0.25">
      <c r="B512" t="s">
        <v>575</v>
      </c>
      <c r="C512" t="s">
        <v>681</v>
      </c>
      <c r="D512" t="s">
        <v>577</v>
      </c>
      <c r="E512">
        <v>9</v>
      </c>
      <c r="G512">
        <v>331</v>
      </c>
      <c r="H512">
        <v>331</v>
      </c>
      <c r="I512">
        <v>320</v>
      </c>
      <c r="J512" t="s">
        <v>556</v>
      </c>
      <c r="K512">
        <v>319.5</v>
      </c>
      <c r="L512">
        <v>5.1900955542395302</v>
      </c>
      <c r="M512">
        <v>3.6001138999341902</v>
      </c>
    </row>
    <row r="513" spans="2:13" x14ac:dyDescent="0.25">
      <c r="B513" t="s">
        <v>578</v>
      </c>
      <c r="C513" t="s">
        <v>681</v>
      </c>
      <c r="D513" t="s">
        <v>580</v>
      </c>
      <c r="E513">
        <v>9</v>
      </c>
      <c r="G513">
        <v>312</v>
      </c>
      <c r="H513">
        <v>312</v>
      </c>
      <c r="I513">
        <v>309</v>
      </c>
      <c r="J513" t="s">
        <v>556</v>
      </c>
      <c r="K513">
        <v>308.5</v>
      </c>
      <c r="L513">
        <v>2.6160671828532198</v>
      </c>
      <c r="M513">
        <v>2.07214832309303</v>
      </c>
    </row>
    <row r="514" spans="2:13" x14ac:dyDescent="0.25">
      <c r="B514" t="s">
        <v>578</v>
      </c>
      <c r="C514" t="s">
        <v>681</v>
      </c>
      <c r="D514" t="s">
        <v>579</v>
      </c>
      <c r="E514">
        <v>9</v>
      </c>
      <c r="G514">
        <v>305</v>
      </c>
      <c r="H514">
        <v>305</v>
      </c>
      <c r="I514">
        <v>309</v>
      </c>
      <c r="J514" t="s">
        <v>556</v>
      </c>
      <c r="K514">
        <v>308.5</v>
      </c>
      <c r="L514">
        <v>1.5282294633328399</v>
      </c>
      <c r="M514">
        <v>2.07214832309303</v>
      </c>
    </row>
    <row r="515" spans="2:13" x14ac:dyDescent="0.25">
      <c r="B515" t="s">
        <v>581</v>
      </c>
      <c r="C515" t="s">
        <v>681</v>
      </c>
      <c r="D515" t="s">
        <v>582</v>
      </c>
      <c r="E515">
        <v>9</v>
      </c>
      <c r="G515">
        <v>294</v>
      </c>
      <c r="H515">
        <v>294</v>
      </c>
      <c r="I515">
        <v>294</v>
      </c>
      <c r="J515" t="s">
        <v>553</v>
      </c>
      <c r="K515">
        <v>294</v>
      </c>
      <c r="L515" t="s">
        <v>554</v>
      </c>
      <c r="M515" t="s">
        <v>554</v>
      </c>
    </row>
    <row r="516" spans="2:13" x14ac:dyDescent="0.25">
      <c r="B516" t="s">
        <v>581</v>
      </c>
      <c r="C516" t="s">
        <v>681</v>
      </c>
      <c r="D516" t="s">
        <v>583</v>
      </c>
      <c r="E516">
        <v>9</v>
      </c>
      <c r="G516">
        <v>294</v>
      </c>
      <c r="H516">
        <v>294</v>
      </c>
      <c r="I516">
        <v>294</v>
      </c>
      <c r="J516" t="s">
        <v>553</v>
      </c>
      <c r="K516">
        <v>294</v>
      </c>
      <c r="L516" t="s">
        <v>554</v>
      </c>
      <c r="M516" t="s">
        <v>554</v>
      </c>
    </row>
    <row r="517" spans="2:13" x14ac:dyDescent="0.25">
      <c r="B517" t="s">
        <v>584</v>
      </c>
      <c r="C517" t="s">
        <v>681</v>
      </c>
      <c r="D517" t="s">
        <v>586</v>
      </c>
      <c r="E517">
        <v>9</v>
      </c>
      <c r="G517">
        <v>302</v>
      </c>
      <c r="H517">
        <v>302</v>
      </c>
      <c r="I517">
        <v>312</v>
      </c>
      <c r="J517" t="s">
        <v>556</v>
      </c>
      <c r="K517">
        <v>312</v>
      </c>
      <c r="L517">
        <v>1.00965913439791</v>
      </c>
      <c r="M517">
        <v>2.5134511089260001</v>
      </c>
    </row>
    <row r="518" spans="2:13" x14ac:dyDescent="0.25">
      <c r="B518" t="s">
        <v>584</v>
      </c>
      <c r="C518" t="s">
        <v>681</v>
      </c>
      <c r="D518" t="s">
        <v>585</v>
      </c>
      <c r="E518">
        <v>9</v>
      </c>
      <c r="G518">
        <v>322</v>
      </c>
      <c r="H518">
        <v>322</v>
      </c>
      <c r="I518">
        <v>312</v>
      </c>
      <c r="J518" t="s">
        <v>556</v>
      </c>
      <c r="K518">
        <v>312</v>
      </c>
      <c r="L518">
        <v>4.0172430834540904</v>
      </c>
      <c r="M518">
        <v>2.5134511089260001</v>
      </c>
    </row>
    <row r="519" spans="2:13" x14ac:dyDescent="0.25">
      <c r="B519" t="s">
        <v>587</v>
      </c>
      <c r="C519" t="s">
        <v>681</v>
      </c>
      <c r="D519" t="s">
        <v>589</v>
      </c>
      <c r="E519">
        <v>9</v>
      </c>
      <c r="G519">
        <v>284</v>
      </c>
      <c r="H519">
        <v>284</v>
      </c>
      <c r="I519">
        <v>293</v>
      </c>
      <c r="J519" t="s">
        <v>553</v>
      </c>
      <c r="K519">
        <v>292.5</v>
      </c>
      <c r="L519" t="s">
        <v>554</v>
      </c>
      <c r="M519" t="s">
        <v>554</v>
      </c>
    </row>
    <row r="520" spans="2:13" x14ac:dyDescent="0.25">
      <c r="B520" t="s">
        <v>587</v>
      </c>
      <c r="C520" t="s">
        <v>681</v>
      </c>
      <c r="D520" t="s">
        <v>588</v>
      </c>
      <c r="E520">
        <v>9</v>
      </c>
      <c r="G520">
        <v>301</v>
      </c>
      <c r="H520">
        <v>301</v>
      </c>
      <c r="I520">
        <v>293</v>
      </c>
      <c r="J520" t="s">
        <v>556</v>
      </c>
      <c r="K520">
        <v>292.5</v>
      </c>
      <c r="L520">
        <v>0.82424586736791405</v>
      </c>
      <c r="M520" t="s">
        <v>554</v>
      </c>
    </row>
    <row r="521" spans="2:13" x14ac:dyDescent="0.25">
      <c r="B521" t="s">
        <v>590</v>
      </c>
      <c r="C521" t="s">
        <v>681</v>
      </c>
      <c r="D521" t="s">
        <v>591</v>
      </c>
      <c r="E521">
        <v>9</v>
      </c>
      <c r="G521">
        <v>317</v>
      </c>
      <c r="H521">
        <v>317</v>
      </c>
      <c r="I521">
        <v>322</v>
      </c>
      <c r="J521" t="s">
        <v>556</v>
      </c>
      <c r="K521">
        <v>322</v>
      </c>
      <c r="L521">
        <v>3.3329094781901398</v>
      </c>
      <c r="M521">
        <v>4.0048809885391599</v>
      </c>
    </row>
    <row r="522" spans="2:13" x14ac:dyDescent="0.25">
      <c r="B522" t="s">
        <v>590</v>
      </c>
      <c r="C522" t="s">
        <v>681</v>
      </c>
      <c r="D522" t="s">
        <v>592</v>
      </c>
      <c r="E522">
        <v>9</v>
      </c>
      <c r="G522">
        <v>327</v>
      </c>
      <c r="H522">
        <v>327</v>
      </c>
      <c r="I522">
        <v>322</v>
      </c>
      <c r="J522" t="s">
        <v>556</v>
      </c>
      <c r="K522">
        <v>322</v>
      </c>
      <c r="L522">
        <v>4.6768524988881897</v>
      </c>
      <c r="M522">
        <v>4.0048809885391599</v>
      </c>
    </row>
    <row r="523" spans="2:13" x14ac:dyDescent="0.25">
      <c r="B523" t="s">
        <v>593</v>
      </c>
      <c r="C523" t="s">
        <v>681</v>
      </c>
      <c r="D523" t="s">
        <v>595</v>
      </c>
      <c r="E523">
        <v>9</v>
      </c>
      <c r="G523">
        <v>298</v>
      </c>
      <c r="H523">
        <v>298</v>
      </c>
      <c r="I523">
        <v>302</v>
      </c>
      <c r="J523" t="s">
        <v>556</v>
      </c>
      <c r="K523">
        <v>302</v>
      </c>
      <c r="L523">
        <v>0.18176725866537799</v>
      </c>
      <c r="M523">
        <v>0.93694888796031595</v>
      </c>
    </row>
    <row r="524" spans="2:13" x14ac:dyDescent="0.25">
      <c r="B524" t="s">
        <v>593</v>
      </c>
      <c r="C524" t="s">
        <v>681</v>
      </c>
      <c r="D524" t="s">
        <v>594</v>
      </c>
      <c r="E524">
        <v>9</v>
      </c>
      <c r="G524">
        <v>306</v>
      </c>
      <c r="H524">
        <v>306</v>
      </c>
      <c r="I524">
        <v>302</v>
      </c>
      <c r="J524" t="s">
        <v>556</v>
      </c>
      <c r="K524">
        <v>302</v>
      </c>
      <c r="L524">
        <v>1.6921305172552501</v>
      </c>
      <c r="M524">
        <v>0.93694888796031595</v>
      </c>
    </row>
    <row r="525" spans="2:13" x14ac:dyDescent="0.25">
      <c r="B525" t="s">
        <v>596</v>
      </c>
      <c r="C525" t="s">
        <v>681</v>
      </c>
      <c r="D525" t="s">
        <v>598</v>
      </c>
      <c r="E525">
        <v>9</v>
      </c>
      <c r="G525">
        <v>299</v>
      </c>
      <c r="H525">
        <v>299</v>
      </c>
      <c r="I525">
        <v>308</v>
      </c>
      <c r="J525" t="s">
        <v>556</v>
      </c>
      <c r="K525">
        <v>307.5</v>
      </c>
      <c r="L525">
        <v>0.419416350478098</v>
      </c>
      <c r="M525">
        <v>1.8059417871596899</v>
      </c>
    </row>
    <row r="526" spans="2:13" x14ac:dyDescent="0.25">
      <c r="B526" t="s">
        <v>596</v>
      </c>
      <c r="C526" t="s">
        <v>681</v>
      </c>
      <c r="D526" t="s">
        <v>597</v>
      </c>
      <c r="E526">
        <v>9</v>
      </c>
      <c r="G526">
        <v>316</v>
      </c>
      <c r="H526">
        <v>316</v>
      </c>
      <c r="I526">
        <v>308</v>
      </c>
      <c r="J526" t="s">
        <v>556</v>
      </c>
      <c r="K526">
        <v>307.5</v>
      </c>
      <c r="L526">
        <v>3.1924672238412901</v>
      </c>
      <c r="M526">
        <v>1.8059417871596899</v>
      </c>
    </row>
    <row r="527" spans="2:13" x14ac:dyDescent="0.25">
      <c r="B527" t="s">
        <v>599</v>
      </c>
      <c r="C527" t="s">
        <v>681</v>
      </c>
      <c r="D527" t="s">
        <v>600</v>
      </c>
      <c r="E527">
        <v>9</v>
      </c>
      <c r="G527">
        <v>317</v>
      </c>
      <c r="H527">
        <v>317</v>
      </c>
      <c r="I527">
        <v>304</v>
      </c>
      <c r="J527" t="s">
        <v>556</v>
      </c>
      <c r="K527">
        <v>304</v>
      </c>
      <c r="L527">
        <v>3.3329094781901398</v>
      </c>
      <c r="M527" t="s">
        <v>554</v>
      </c>
    </row>
    <row r="528" spans="2:13" x14ac:dyDescent="0.25">
      <c r="B528" t="s">
        <v>599</v>
      </c>
      <c r="C528" t="s">
        <v>681</v>
      </c>
      <c r="D528" t="s">
        <v>601</v>
      </c>
      <c r="E528">
        <v>9</v>
      </c>
      <c r="G528">
        <v>291</v>
      </c>
      <c r="H528">
        <v>291</v>
      </c>
      <c r="I528">
        <v>304</v>
      </c>
      <c r="J528" t="s">
        <v>553</v>
      </c>
      <c r="K528">
        <v>304</v>
      </c>
      <c r="L528" t="s">
        <v>554</v>
      </c>
      <c r="M528" t="s">
        <v>554</v>
      </c>
    </row>
    <row r="529" spans="2:13" x14ac:dyDescent="0.25">
      <c r="B529" t="s">
        <v>602</v>
      </c>
      <c r="C529" t="s">
        <v>681</v>
      </c>
      <c r="D529" t="s">
        <v>603</v>
      </c>
      <c r="E529">
        <v>9</v>
      </c>
      <c r="G529">
        <v>291</v>
      </c>
      <c r="H529">
        <v>291</v>
      </c>
      <c r="I529">
        <v>303</v>
      </c>
      <c r="J529" t="s">
        <v>553</v>
      </c>
      <c r="K529">
        <v>303</v>
      </c>
      <c r="L529" t="s">
        <v>554</v>
      </c>
      <c r="M529" t="s">
        <v>554</v>
      </c>
    </row>
    <row r="530" spans="2:13" x14ac:dyDescent="0.25">
      <c r="B530" t="s">
        <v>602</v>
      </c>
      <c r="C530" t="s">
        <v>681</v>
      </c>
      <c r="D530" t="s">
        <v>604</v>
      </c>
      <c r="E530">
        <v>9</v>
      </c>
      <c r="G530">
        <v>315</v>
      </c>
      <c r="H530">
        <v>315</v>
      </c>
      <c r="I530">
        <v>303</v>
      </c>
      <c r="J530" t="s">
        <v>556</v>
      </c>
      <c r="K530">
        <v>303</v>
      </c>
      <c r="L530">
        <v>3.0506604196999199</v>
      </c>
      <c r="M530" t="s">
        <v>554</v>
      </c>
    </row>
    <row r="531" spans="2:13" x14ac:dyDescent="0.25">
      <c r="B531" t="s">
        <v>605</v>
      </c>
      <c r="C531" t="s">
        <v>681</v>
      </c>
      <c r="D531" t="s">
        <v>606</v>
      </c>
      <c r="E531">
        <v>9</v>
      </c>
      <c r="G531">
        <v>317</v>
      </c>
      <c r="H531">
        <v>317</v>
      </c>
      <c r="I531">
        <v>316</v>
      </c>
      <c r="J531" t="s">
        <v>556</v>
      </c>
      <c r="K531">
        <v>315.5</v>
      </c>
      <c r="L531">
        <v>3.3329094781901398</v>
      </c>
      <c r="M531">
        <v>3.1201531755080798</v>
      </c>
    </row>
    <row r="532" spans="2:13" x14ac:dyDescent="0.25">
      <c r="B532" t="s">
        <v>605</v>
      </c>
      <c r="C532" t="s">
        <v>681</v>
      </c>
      <c r="D532" t="s">
        <v>607</v>
      </c>
      <c r="E532">
        <v>9</v>
      </c>
      <c r="G532">
        <v>314</v>
      </c>
      <c r="H532">
        <v>314</v>
      </c>
      <c r="I532">
        <v>316</v>
      </c>
      <c r="J532" t="s">
        <v>556</v>
      </c>
      <c r="K532">
        <v>315.5</v>
      </c>
      <c r="L532">
        <v>2.9073968728260202</v>
      </c>
      <c r="M532">
        <v>3.1201531755080798</v>
      </c>
    </row>
    <row r="533" spans="2:13" x14ac:dyDescent="0.25">
      <c r="B533" t="s">
        <v>608</v>
      </c>
      <c r="C533" t="s">
        <v>681</v>
      </c>
      <c r="D533" t="s">
        <v>609</v>
      </c>
      <c r="E533">
        <v>9</v>
      </c>
      <c r="G533">
        <v>293</v>
      </c>
      <c r="H533">
        <v>293</v>
      </c>
      <c r="I533">
        <v>298</v>
      </c>
      <c r="J533" t="s">
        <v>553</v>
      </c>
      <c r="K533">
        <v>297.5</v>
      </c>
      <c r="L533" t="s">
        <v>554</v>
      </c>
      <c r="M533" t="s">
        <v>554</v>
      </c>
    </row>
    <row r="534" spans="2:13" x14ac:dyDescent="0.25">
      <c r="B534" t="s">
        <v>608</v>
      </c>
      <c r="C534" t="s">
        <v>681</v>
      </c>
      <c r="D534" t="s">
        <v>610</v>
      </c>
      <c r="E534">
        <v>9</v>
      </c>
      <c r="G534">
        <v>302</v>
      </c>
      <c r="H534">
        <v>302</v>
      </c>
      <c r="I534">
        <v>298</v>
      </c>
      <c r="J534" t="s">
        <v>556</v>
      </c>
      <c r="K534">
        <v>297.5</v>
      </c>
      <c r="L534">
        <v>1.00965913439791</v>
      </c>
      <c r="M534" t="s">
        <v>554</v>
      </c>
    </row>
    <row r="535" spans="2:13" x14ac:dyDescent="0.25">
      <c r="B535" t="s">
        <v>611</v>
      </c>
      <c r="C535" t="s">
        <v>681</v>
      </c>
      <c r="D535" t="s">
        <v>612</v>
      </c>
      <c r="E535">
        <v>9</v>
      </c>
      <c r="G535">
        <v>309</v>
      </c>
      <c r="H535">
        <v>309</v>
      </c>
      <c r="I535">
        <v>312</v>
      </c>
      <c r="J535" t="s">
        <v>556</v>
      </c>
      <c r="K535">
        <v>311.5</v>
      </c>
      <c r="L535">
        <v>2.164982423853</v>
      </c>
      <c r="M535">
        <v>2.5361896483395099</v>
      </c>
    </row>
    <row r="536" spans="2:13" x14ac:dyDescent="0.25">
      <c r="B536" t="s">
        <v>611</v>
      </c>
      <c r="C536" t="s">
        <v>681</v>
      </c>
      <c r="D536" t="s">
        <v>613</v>
      </c>
      <c r="E536">
        <v>9</v>
      </c>
      <c r="G536">
        <v>314</v>
      </c>
      <c r="H536">
        <v>314</v>
      </c>
      <c r="I536">
        <v>312</v>
      </c>
      <c r="J536" t="s">
        <v>556</v>
      </c>
      <c r="K536">
        <v>311.5</v>
      </c>
      <c r="L536">
        <v>2.9073968728260202</v>
      </c>
      <c r="M536">
        <v>2.5361896483395099</v>
      </c>
    </row>
    <row r="537" spans="2:13" x14ac:dyDescent="0.25">
      <c r="B537" t="s">
        <v>614</v>
      </c>
      <c r="C537" t="s">
        <v>681</v>
      </c>
      <c r="D537" t="s">
        <v>616</v>
      </c>
      <c r="E537">
        <v>9</v>
      </c>
      <c r="G537">
        <v>295</v>
      </c>
      <c r="H537">
        <v>295</v>
      </c>
      <c r="I537">
        <v>290</v>
      </c>
      <c r="J537" t="s">
        <v>553</v>
      </c>
      <c r="K537">
        <v>290</v>
      </c>
      <c r="L537" t="s">
        <v>554</v>
      </c>
      <c r="M537" t="s">
        <v>554</v>
      </c>
    </row>
    <row r="538" spans="2:13" x14ac:dyDescent="0.25">
      <c r="B538" t="s">
        <v>614</v>
      </c>
      <c r="C538" t="s">
        <v>681</v>
      </c>
      <c r="D538" t="s">
        <v>615</v>
      </c>
      <c r="E538">
        <v>9</v>
      </c>
      <c r="G538">
        <v>285</v>
      </c>
      <c r="H538">
        <v>285</v>
      </c>
      <c r="I538">
        <v>290</v>
      </c>
      <c r="J538" t="s">
        <v>553</v>
      </c>
      <c r="K538">
        <v>290</v>
      </c>
      <c r="L538" t="s">
        <v>554</v>
      </c>
      <c r="M538" t="s">
        <v>554</v>
      </c>
    </row>
    <row r="539" spans="2:13" x14ac:dyDescent="0.25">
      <c r="B539" t="s">
        <v>617</v>
      </c>
      <c r="C539" t="s">
        <v>681</v>
      </c>
      <c r="D539" t="s">
        <v>619</v>
      </c>
      <c r="E539">
        <v>9</v>
      </c>
      <c r="G539">
        <v>298</v>
      </c>
      <c r="H539">
        <v>298</v>
      </c>
      <c r="I539">
        <v>293</v>
      </c>
      <c r="J539" t="s">
        <v>556</v>
      </c>
      <c r="K539">
        <v>293</v>
      </c>
      <c r="L539">
        <v>0.18176725866537799</v>
      </c>
      <c r="M539" t="s">
        <v>554</v>
      </c>
    </row>
    <row r="540" spans="2:13" x14ac:dyDescent="0.25">
      <c r="B540" t="s">
        <v>617</v>
      </c>
      <c r="C540" t="s">
        <v>681</v>
      </c>
      <c r="D540" t="s">
        <v>618</v>
      </c>
      <c r="E540">
        <v>9</v>
      </c>
      <c r="G540">
        <v>288</v>
      </c>
      <c r="H540">
        <v>288</v>
      </c>
      <c r="I540">
        <v>293</v>
      </c>
      <c r="J540" t="s">
        <v>553</v>
      </c>
      <c r="K540">
        <v>293</v>
      </c>
      <c r="L540" t="s">
        <v>554</v>
      </c>
      <c r="M540" t="s">
        <v>554</v>
      </c>
    </row>
    <row r="541" spans="2:13" x14ac:dyDescent="0.25">
      <c r="B541" t="s">
        <v>620</v>
      </c>
      <c r="C541" t="s">
        <v>681</v>
      </c>
      <c r="D541" t="s">
        <v>621</v>
      </c>
      <c r="E541">
        <v>9</v>
      </c>
      <c r="G541">
        <v>283</v>
      </c>
      <c r="H541">
        <v>283</v>
      </c>
      <c r="I541">
        <v>281</v>
      </c>
      <c r="J541" t="s">
        <v>553</v>
      </c>
      <c r="K541">
        <v>280.5</v>
      </c>
      <c r="L541" t="s">
        <v>554</v>
      </c>
      <c r="M541" t="s">
        <v>554</v>
      </c>
    </row>
    <row r="542" spans="2:13" x14ac:dyDescent="0.25">
      <c r="B542" t="s">
        <v>620</v>
      </c>
      <c r="C542" t="s">
        <v>681</v>
      </c>
      <c r="D542" t="s">
        <v>622</v>
      </c>
      <c r="E542">
        <v>9</v>
      </c>
      <c r="G542">
        <v>278</v>
      </c>
      <c r="H542">
        <v>278</v>
      </c>
      <c r="I542">
        <v>281</v>
      </c>
      <c r="J542" t="s">
        <v>553</v>
      </c>
      <c r="K542">
        <v>280.5</v>
      </c>
      <c r="L542" t="s">
        <v>554</v>
      </c>
      <c r="M542" t="s">
        <v>554</v>
      </c>
    </row>
    <row r="543" spans="2:13" x14ac:dyDescent="0.25">
      <c r="B543" t="s">
        <v>623</v>
      </c>
      <c r="C543" t="s">
        <v>681</v>
      </c>
      <c r="D543" t="s">
        <v>625</v>
      </c>
      <c r="E543">
        <v>9</v>
      </c>
      <c r="G543">
        <v>315</v>
      </c>
      <c r="H543">
        <v>315</v>
      </c>
      <c r="I543">
        <v>307</v>
      </c>
      <c r="J543" t="s">
        <v>556</v>
      </c>
      <c r="K543">
        <v>306.5</v>
      </c>
      <c r="L543">
        <v>3.0506604196999199</v>
      </c>
      <c r="M543">
        <v>1.6162138391826499</v>
      </c>
    </row>
    <row r="544" spans="2:13" x14ac:dyDescent="0.25">
      <c r="B544" t="s">
        <v>623</v>
      </c>
      <c r="C544" t="s">
        <v>681</v>
      </c>
      <c r="D544" t="s">
        <v>624</v>
      </c>
      <c r="E544">
        <v>9</v>
      </c>
      <c r="G544">
        <v>298</v>
      </c>
      <c r="H544">
        <v>298</v>
      </c>
      <c r="I544">
        <v>307</v>
      </c>
      <c r="J544" t="s">
        <v>556</v>
      </c>
      <c r="K544">
        <v>306.5</v>
      </c>
      <c r="L544">
        <v>0.18176725866537799</v>
      </c>
      <c r="M544">
        <v>1.6162138391826499</v>
      </c>
    </row>
    <row r="545" spans="2:13" x14ac:dyDescent="0.25">
      <c r="B545" t="s">
        <v>626</v>
      </c>
      <c r="C545" t="s">
        <v>681</v>
      </c>
      <c r="D545" t="s">
        <v>628</v>
      </c>
      <c r="E545">
        <v>9</v>
      </c>
      <c r="G545">
        <v>283</v>
      </c>
      <c r="H545">
        <v>283</v>
      </c>
      <c r="I545">
        <v>285</v>
      </c>
      <c r="J545" t="s">
        <v>553</v>
      </c>
      <c r="K545">
        <v>285</v>
      </c>
      <c r="L545" t="s">
        <v>554</v>
      </c>
      <c r="M545" t="s">
        <v>554</v>
      </c>
    </row>
    <row r="546" spans="2:13" x14ac:dyDescent="0.25">
      <c r="B546" t="s">
        <v>626</v>
      </c>
      <c r="C546" t="s">
        <v>681</v>
      </c>
      <c r="D546" t="s">
        <v>627</v>
      </c>
      <c r="E546">
        <v>9</v>
      </c>
      <c r="G546">
        <v>287</v>
      </c>
      <c r="H546">
        <v>287</v>
      </c>
      <c r="I546">
        <v>285</v>
      </c>
      <c r="J546" t="s">
        <v>553</v>
      </c>
      <c r="K546">
        <v>285</v>
      </c>
      <c r="L546" t="s">
        <v>554</v>
      </c>
      <c r="M546" t="s">
        <v>554</v>
      </c>
    </row>
    <row r="547" spans="2:13" x14ac:dyDescent="0.25">
      <c r="B547" t="s">
        <v>629</v>
      </c>
      <c r="C547" t="s">
        <v>681</v>
      </c>
      <c r="D547" t="s">
        <v>630</v>
      </c>
      <c r="E547">
        <v>9</v>
      </c>
      <c r="G547">
        <v>296</v>
      </c>
      <c r="H547">
        <v>296</v>
      </c>
      <c r="I547">
        <v>294</v>
      </c>
      <c r="J547" t="s">
        <v>553</v>
      </c>
      <c r="K547">
        <v>293.5</v>
      </c>
      <c r="L547" t="s">
        <v>554</v>
      </c>
      <c r="M547" t="s">
        <v>554</v>
      </c>
    </row>
    <row r="548" spans="2:13" x14ac:dyDescent="0.25">
      <c r="B548" t="s">
        <v>629</v>
      </c>
      <c r="C548" t="s">
        <v>681</v>
      </c>
      <c r="D548" t="s">
        <v>631</v>
      </c>
      <c r="E548">
        <v>9</v>
      </c>
      <c r="G548">
        <v>291</v>
      </c>
      <c r="H548">
        <v>291</v>
      </c>
      <c r="I548">
        <v>294</v>
      </c>
      <c r="J548" t="s">
        <v>553</v>
      </c>
      <c r="K548">
        <v>293.5</v>
      </c>
      <c r="L548" t="s">
        <v>554</v>
      </c>
      <c r="M548" t="s">
        <v>554</v>
      </c>
    </row>
    <row r="549" spans="2:13" x14ac:dyDescent="0.25">
      <c r="B549" t="s">
        <v>632</v>
      </c>
      <c r="C549" t="s">
        <v>681</v>
      </c>
      <c r="D549" t="s">
        <v>634</v>
      </c>
      <c r="E549">
        <v>9</v>
      </c>
      <c r="G549">
        <v>281</v>
      </c>
      <c r="H549">
        <v>281</v>
      </c>
      <c r="I549">
        <v>286</v>
      </c>
      <c r="J549" t="s">
        <v>553</v>
      </c>
      <c r="K549">
        <v>286</v>
      </c>
      <c r="L549" t="s">
        <v>554</v>
      </c>
      <c r="M549" t="s">
        <v>554</v>
      </c>
    </row>
    <row r="550" spans="2:13" x14ac:dyDescent="0.25">
      <c r="B550" t="s">
        <v>632</v>
      </c>
      <c r="C550" t="s">
        <v>681</v>
      </c>
      <c r="D550" t="s">
        <v>633</v>
      </c>
      <c r="E550">
        <v>9</v>
      </c>
      <c r="G550">
        <v>291</v>
      </c>
      <c r="H550">
        <v>291</v>
      </c>
      <c r="I550">
        <v>286</v>
      </c>
      <c r="J550" t="s">
        <v>553</v>
      </c>
      <c r="K550">
        <v>286</v>
      </c>
      <c r="L550" t="s">
        <v>554</v>
      </c>
      <c r="M550" t="s">
        <v>554</v>
      </c>
    </row>
    <row r="551" spans="2:13" x14ac:dyDescent="0.25">
      <c r="B551" t="s">
        <v>635</v>
      </c>
      <c r="C551" t="s">
        <v>681</v>
      </c>
      <c r="D551" t="s">
        <v>637</v>
      </c>
      <c r="E551">
        <v>9</v>
      </c>
      <c r="G551">
        <v>292</v>
      </c>
      <c r="H551">
        <v>292</v>
      </c>
      <c r="I551">
        <v>294</v>
      </c>
      <c r="J551" t="s">
        <v>553</v>
      </c>
      <c r="K551">
        <v>294</v>
      </c>
      <c r="L551" t="s">
        <v>554</v>
      </c>
      <c r="M551" t="s">
        <v>554</v>
      </c>
    </row>
    <row r="552" spans="2:13" x14ac:dyDescent="0.25">
      <c r="B552" t="s">
        <v>635</v>
      </c>
      <c r="C552" t="s">
        <v>681</v>
      </c>
      <c r="D552" t="s">
        <v>636</v>
      </c>
      <c r="E552">
        <v>9</v>
      </c>
      <c r="G552">
        <v>296</v>
      </c>
      <c r="H552">
        <v>296</v>
      </c>
      <c r="I552">
        <v>294</v>
      </c>
      <c r="J552" t="s">
        <v>553</v>
      </c>
      <c r="K552">
        <v>294</v>
      </c>
      <c r="L552" t="s">
        <v>554</v>
      </c>
      <c r="M552" t="s">
        <v>554</v>
      </c>
    </row>
    <row r="553" spans="2:13" x14ac:dyDescent="0.25">
      <c r="B553" t="s">
        <v>638</v>
      </c>
      <c r="C553" t="s">
        <v>681</v>
      </c>
      <c r="D553" t="s">
        <v>640</v>
      </c>
      <c r="E553">
        <v>9</v>
      </c>
      <c r="G553">
        <v>287</v>
      </c>
      <c r="H553">
        <v>287</v>
      </c>
      <c r="I553">
        <v>292</v>
      </c>
      <c r="J553" t="s">
        <v>553</v>
      </c>
      <c r="K553">
        <v>291.5</v>
      </c>
      <c r="L553" t="s">
        <v>554</v>
      </c>
      <c r="M553" t="s">
        <v>554</v>
      </c>
    </row>
    <row r="554" spans="2:13" x14ac:dyDescent="0.25">
      <c r="B554" t="s">
        <v>638</v>
      </c>
      <c r="C554" t="s">
        <v>681</v>
      </c>
      <c r="D554" t="s">
        <v>639</v>
      </c>
      <c r="E554">
        <v>9</v>
      </c>
      <c r="G554">
        <v>296</v>
      </c>
      <c r="H554">
        <v>296</v>
      </c>
      <c r="I554">
        <v>292</v>
      </c>
      <c r="J554" t="s">
        <v>553</v>
      </c>
      <c r="K554">
        <v>291.5</v>
      </c>
      <c r="L554" t="s">
        <v>554</v>
      </c>
      <c r="M554" t="s">
        <v>554</v>
      </c>
    </row>
    <row r="555" spans="2:13" x14ac:dyDescent="0.25">
      <c r="B555" t="s">
        <v>641</v>
      </c>
      <c r="C555" t="s">
        <v>681</v>
      </c>
      <c r="D555" t="s">
        <v>642</v>
      </c>
      <c r="E555">
        <v>9</v>
      </c>
      <c r="G555">
        <v>313</v>
      </c>
      <c r="H555">
        <v>313</v>
      </c>
      <c r="I555">
        <v>306</v>
      </c>
      <c r="J555" t="s">
        <v>556</v>
      </c>
      <c r="K555">
        <v>306</v>
      </c>
      <c r="L555">
        <v>2.7625721743797702</v>
      </c>
      <c r="M555">
        <v>1.5909942624289299</v>
      </c>
    </row>
    <row r="556" spans="2:13" x14ac:dyDescent="0.25">
      <c r="B556" t="s">
        <v>641</v>
      </c>
      <c r="C556" t="s">
        <v>681</v>
      </c>
      <c r="D556" t="s">
        <v>643</v>
      </c>
      <c r="E556">
        <v>9</v>
      </c>
      <c r="G556">
        <v>299</v>
      </c>
      <c r="H556">
        <v>299</v>
      </c>
      <c r="I556">
        <v>306</v>
      </c>
      <c r="J556" t="s">
        <v>556</v>
      </c>
      <c r="K556">
        <v>306</v>
      </c>
      <c r="L556">
        <v>0.419416350478098</v>
      </c>
      <c r="M556">
        <v>1.5909942624289299</v>
      </c>
    </row>
    <row r="557" spans="2:13" x14ac:dyDescent="0.25">
      <c r="B557" t="s">
        <v>644</v>
      </c>
      <c r="C557" t="s">
        <v>681</v>
      </c>
      <c r="D557" t="s">
        <v>646</v>
      </c>
      <c r="E557">
        <v>9</v>
      </c>
      <c r="G557">
        <v>329</v>
      </c>
      <c r="H557">
        <v>329</v>
      </c>
      <c r="I557">
        <v>341</v>
      </c>
      <c r="J557" t="s">
        <v>556</v>
      </c>
      <c r="K557">
        <v>341</v>
      </c>
      <c r="L557">
        <v>4.9349336743435304</v>
      </c>
      <c r="M557">
        <v>6.3919684809238699</v>
      </c>
    </row>
    <row r="558" spans="2:13" x14ac:dyDescent="0.25">
      <c r="B558" t="s">
        <v>644</v>
      </c>
      <c r="C558" t="s">
        <v>681</v>
      </c>
      <c r="D558" t="s">
        <v>645</v>
      </c>
      <c r="E558">
        <v>9</v>
      </c>
      <c r="G558">
        <v>353</v>
      </c>
      <c r="H558">
        <v>353</v>
      </c>
      <c r="I558">
        <v>341</v>
      </c>
      <c r="J558" t="s">
        <v>532</v>
      </c>
      <c r="K558">
        <v>341</v>
      </c>
      <c r="L558">
        <v>7.8490032875042202</v>
      </c>
      <c r="M558">
        <v>6.3919684809238699</v>
      </c>
    </row>
    <row r="559" spans="2:13" x14ac:dyDescent="0.25">
      <c r="B559" t="s">
        <v>647</v>
      </c>
      <c r="C559" t="s">
        <v>681</v>
      </c>
      <c r="D559" t="s">
        <v>649</v>
      </c>
      <c r="E559">
        <v>9</v>
      </c>
      <c r="G559">
        <v>295</v>
      </c>
      <c r="H559">
        <v>295</v>
      </c>
      <c r="I559">
        <v>298</v>
      </c>
      <c r="J559" t="s">
        <v>553</v>
      </c>
      <c r="K559">
        <v>297.5</v>
      </c>
      <c r="L559" t="s">
        <v>554</v>
      </c>
      <c r="M559" t="s">
        <v>554</v>
      </c>
    </row>
    <row r="560" spans="2:13" x14ac:dyDescent="0.25">
      <c r="B560" t="s">
        <v>647</v>
      </c>
      <c r="C560" t="s">
        <v>681</v>
      </c>
      <c r="D560" t="s">
        <v>648</v>
      </c>
      <c r="E560">
        <v>9</v>
      </c>
      <c r="G560">
        <v>300</v>
      </c>
      <c r="H560">
        <v>300</v>
      </c>
      <c r="I560">
        <v>298</v>
      </c>
      <c r="J560" t="s">
        <v>556</v>
      </c>
      <c r="K560">
        <v>297.5</v>
      </c>
      <c r="L560">
        <v>0.62911691962292005</v>
      </c>
      <c r="M560" t="s">
        <v>554</v>
      </c>
    </row>
    <row r="561" spans="2:13" x14ac:dyDescent="0.25">
      <c r="B561" t="s">
        <v>650</v>
      </c>
      <c r="C561" t="s">
        <v>681</v>
      </c>
      <c r="D561" t="s">
        <v>651</v>
      </c>
      <c r="E561">
        <v>9</v>
      </c>
      <c r="G561">
        <v>304</v>
      </c>
      <c r="H561">
        <v>304</v>
      </c>
      <c r="I561">
        <v>304</v>
      </c>
      <c r="J561" t="s">
        <v>556</v>
      </c>
      <c r="K561">
        <v>303.5</v>
      </c>
      <c r="L561">
        <v>1.3603820021509601</v>
      </c>
      <c r="M561">
        <v>1.27412300978836</v>
      </c>
    </row>
    <row r="562" spans="2:13" x14ac:dyDescent="0.25">
      <c r="B562" t="s">
        <v>650</v>
      </c>
      <c r="C562" t="s">
        <v>681</v>
      </c>
      <c r="D562" t="s">
        <v>652</v>
      </c>
      <c r="E562">
        <v>9</v>
      </c>
      <c r="G562">
        <v>303</v>
      </c>
      <c r="H562">
        <v>303</v>
      </c>
      <c r="I562">
        <v>304</v>
      </c>
      <c r="J562" t="s">
        <v>556</v>
      </c>
      <c r="K562">
        <v>303.5</v>
      </c>
      <c r="L562">
        <v>1.18786401742577</v>
      </c>
      <c r="M562">
        <v>1.27412300978836</v>
      </c>
    </row>
    <row r="563" spans="2:13" x14ac:dyDescent="0.25">
      <c r="B563" t="s">
        <v>653</v>
      </c>
      <c r="C563" t="s">
        <v>681</v>
      </c>
      <c r="D563" t="s">
        <v>654</v>
      </c>
      <c r="E563">
        <v>9</v>
      </c>
      <c r="G563">
        <v>287</v>
      </c>
      <c r="H563">
        <v>287</v>
      </c>
      <c r="I563">
        <v>282</v>
      </c>
      <c r="J563" t="s">
        <v>553</v>
      </c>
      <c r="K563">
        <v>282</v>
      </c>
      <c r="L563" t="s">
        <v>554</v>
      </c>
      <c r="M563" t="s">
        <v>554</v>
      </c>
    </row>
    <row r="564" spans="2:13" x14ac:dyDescent="0.25">
      <c r="B564" t="s">
        <v>653</v>
      </c>
      <c r="C564" t="s">
        <v>681</v>
      </c>
      <c r="D564" t="s">
        <v>655</v>
      </c>
      <c r="E564">
        <v>9</v>
      </c>
      <c r="G564">
        <v>277</v>
      </c>
      <c r="H564">
        <v>277</v>
      </c>
      <c r="I564">
        <v>282</v>
      </c>
      <c r="J564" t="s">
        <v>553</v>
      </c>
      <c r="K564">
        <v>282</v>
      </c>
      <c r="L564" t="s">
        <v>554</v>
      </c>
      <c r="M564" t="s">
        <v>554</v>
      </c>
    </row>
    <row r="565" spans="2:13" x14ac:dyDescent="0.25">
      <c r="B565" t="s">
        <v>656</v>
      </c>
      <c r="C565" t="s">
        <v>681</v>
      </c>
      <c r="D565" t="s">
        <v>658</v>
      </c>
      <c r="E565">
        <v>9</v>
      </c>
      <c r="G565">
        <v>345</v>
      </c>
      <c r="H565">
        <v>345</v>
      </c>
      <c r="I565">
        <v>342</v>
      </c>
      <c r="J565" t="s">
        <v>532</v>
      </c>
      <c r="K565">
        <v>342</v>
      </c>
      <c r="L565">
        <v>6.9089704274705799</v>
      </c>
      <c r="M565">
        <v>6.5471284915137602</v>
      </c>
    </row>
    <row r="566" spans="2:13" x14ac:dyDescent="0.25">
      <c r="B566" t="s">
        <v>656</v>
      </c>
      <c r="C566" t="s">
        <v>681</v>
      </c>
      <c r="D566" t="s">
        <v>657</v>
      </c>
      <c r="E566">
        <v>9</v>
      </c>
      <c r="G566">
        <v>339</v>
      </c>
      <c r="H566">
        <v>339</v>
      </c>
      <c r="I566">
        <v>342</v>
      </c>
      <c r="J566" t="s">
        <v>532</v>
      </c>
      <c r="K566">
        <v>342</v>
      </c>
      <c r="L566">
        <v>6.1852865555569299</v>
      </c>
      <c r="M566">
        <v>6.5471284915137602</v>
      </c>
    </row>
    <row r="567" spans="2:13" x14ac:dyDescent="0.25">
      <c r="B567" t="s">
        <v>659</v>
      </c>
      <c r="C567" t="s">
        <v>681</v>
      </c>
      <c r="D567" t="s">
        <v>660</v>
      </c>
      <c r="E567">
        <v>9</v>
      </c>
      <c r="G567">
        <v>335</v>
      </c>
      <c r="H567">
        <v>335</v>
      </c>
      <c r="I567">
        <v>339</v>
      </c>
      <c r="J567" t="s">
        <v>532</v>
      </c>
      <c r="K567">
        <v>338.5</v>
      </c>
      <c r="L567">
        <v>5.69245374910055</v>
      </c>
      <c r="M567">
        <v>6.1208845234541798</v>
      </c>
    </row>
    <row r="568" spans="2:13" x14ac:dyDescent="0.25">
      <c r="B568" t="s">
        <v>659</v>
      </c>
      <c r="C568" t="s">
        <v>681</v>
      </c>
      <c r="D568" t="s">
        <v>661</v>
      </c>
      <c r="E568">
        <v>9</v>
      </c>
      <c r="G568">
        <v>342</v>
      </c>
      <c r="H568">
        <v>342</v>
      </c>
      <c r="I568">
        <v>339</v>
      </c>
      <c r="J568" t="s">
        <v>532</v>
      </c>
      <c r="K568">
        <v>338.5</v>
      </c>
      <c r="L568">
        <v>6.5493152978077998</v>
      </c>
      <c r="M568">
        <v>6.1208845234541798</v>
      </c>
    </row>
    <row r="569" spans="2:13" x14ac:dyDescent="0.25">
      <c r="B569" t="s">
        <v>662</v>
      </c>
      <c r="C569" t="s">
        <v>681</v>
      </c>
      <c r="D569" t="s">
        <v>663</v>
      </c>
      <c r="E569">
        <v>9</v>
      </c>
      <c r="G569">
        <v>302</v>
      </c>
      <c r="H569">
        <v>302</v>
      </c>
      <c r="I569">
        <v>297</v>
      </c>
      <c r="J569" t="s">
        <v>556</v>
      </c>
      <c r="K569">
        <v>297</v>
      </c>
      <c r="L569">
        <v>1.00965913439791</v>
      </c>
      <c r="M569" t="s">
        <v>554</v>
      </c>
    </row>
    <row r="570" spans="2:13" x14ac:dyDescent="0.25">
      <c r="B570" t="s">
        <v>662</v>
      </c>
      <c r="C570" t="s">
        <v>681</v>
      </c>
      <c r="D570" t="s">
        <v>664</v>
      </c>
      <c r="E570">
        <v>9</v>
      </c>
      <c r="G570">
        <v>292</v>
      </c>
      <c r="H570">
        <v>292</v>
      </c>
      <c r="I570">
        <v>297</v>
      </c>
      <c r="J570" t="s">
        <v>553</v>
      </c>
      <c r="K570">
        <v>297</v>
      </c>
      <c r="L570" t="s">
        <v>554</v>
      </c>
      <c r="M570" t="s">
        <v>554</v>
      </c>
    </row>
    <row r="571" spans="2:13" x14ac:dyDescent="0.25">
      <c r="B571" t="s">
        <v>665</v>
      </c>
      <c r="C571" t="s">
        <v>681</v>
      </c>
      <c r="D571" t="s">
        <v>667</v>
      </c>
      <c r="E571">
        <v>9</v>
      </c>
      <c r="G571">
        <v>297</v>
      </c>
      <c r="H571">
        <v>297</v>
      </c>
      <c r="I571">
        <v>296</v>
      </c>
      <c r="J571" t="s">
        <v>553</v>
      </c>
      <c r="K571">
        <v>296</v>
      </c>
      <c r="L571" t="s">
        <v>554</v>
      </c>
      <c r="M571" t="s">
        <v>554</v>
      </c>
    </row>
    <row r="572" spans="2:13" x14ac:dyDescent="0.25">
      <c r="B572" t="s">
        <v>665</v>
      </c>
      <c r="C572" t="s">
        <v>681</v>
      </c>
      <c r="D572" t="s">
        <v>666</v>
      </c>
      <c r="E572">
        <v>9</v>
      </c>
      <c r="G572">
        <v>295</v>
      </c>
      <c r="H572">
        <v>295</v>
      </c>
      <c r="I572">
        <v>296</v>
      </c>
      <c r="J572" t="s">
        <v>553</v>
      </c>
      <c r="K572">
        <v>296</v>
      </c>
      <c r="L572" t="s">
        <v>554</v>
      </c>
      <c r="M572" t="s">
        <v>554</v>
      </c>
    </row>
    <row r="573" spans="2:13" x14ac:dyDescent="0.25">
      <c r="B573" t="s">
        <v>668</v>
      </c>
      <c r="C573" t="s">
        <v>681</v>
      </c>
      <c r="D573" t="s">
        <v>670</v>
      </c>
      <c r="E573">
        <v>9</v>
      </c>
      <c r="G573">
        <v>308</v>
      </c>
      <c r="H573">
        <v>308</v>
      </c>
      <c r="I573">
        <v>304</v>
      </c>
      <c r="J573" t="s">
        <v>556</v>
      </c>
      <c r="K573">
        <v>303.5</v>
      </c>
      <c r="L573">
        <v>2.0101322456288502</v>
      </c>
      <c r="M573">
        <v>1.2147742980534699</v>
      </c>
    </row>
    <row r="574" spans="2:13" x14ac:dyDescent="0.25">
      <c r="B574" t="s">
        <v>668</v>
      </c>
      <c r="C574" t="s">
        <v>681</v>
      </c>
      <c r="D574" t="s">
        <v>669</v>
      </c>
      <c r="E574">
        <v>9</v>
      </c>
      <c r="G574">
        <v>299</v>
      </c>
      <c r="H574">
        <v>299</v>
      </c>
      <c r="I574">
        <v>304</v>
      </c>
      <c r="J574" t="s">
        <v>556</v>
      </c>
      <c r="K574">
        <v>303.5</v>
      </c>
      <c r="L574">
        <v>0.419416350478098</v>
      </c>
      <c r="M574">
        <v>1.2147742980534699</v>
      </c>
    </row>
    <row r="575" spans="2:13" x14ac:dyDescent="0.25">
      <c r="B575" t="s">
        <v>671</v>
      </c>
      <c r="C575" t="s">
        <v>681</v>
      </c>
      <c r="D575" t="s">
        <v>673</v>
      </c>
      <c r="E575">
        <v>9</v>
      </c>
      <c r="G575">
        <v>327</v>
      </c>
      <c r="H575">
        <v>327</v>
      </c>
      <c r="I575">
        <v>335</v>
      </c>
      <c r="J575" t="s">
        <v>556</v>
      </c>
      <c r="K575">
        <v>334.5</v>
      </c>
      <c r="L575">
        <v>4.6768524988881897</v>
      </c>
      <c r="M575">
        <v>5.613083898348</v>
      </c>
    </row>
    <row r="576" spans="2:13" x14ac:dyDescent="0.25">
      <c r="B576" t="s">
        <v>671</v>
      </c>
      <c r="C576" t="s">
        <v>681</v>
      </c>
      <c r="D576" t="s">
        <v>672</v>
      </c>
      <c r="E576">
        <v>9</v>
      </c>
      <c r="G576">
        <v>342</v>
      </c>
      <c r="H576">
        <v>342</v>
      </c>
      <c r="I576">
        <v>335</v>
      </c>
      <c r="J576" t="s">
        <v>532</v>
      </c>
      <c r="K576">
        <v>334.5</v>
      </c>
      <c r="L576">
        <v>6.5493152978077998</v>
      </c>
      <c r="M576">
        <v>5.613083898348</v>
      </c>
    </row>
    <row r="577" spans="2:13" x14ac:dyDescent="0.25">
      <c r="B577" t="s">
        <v>674</v>
      </c>
      <c r="C577" t="s">
        <v>681</v>
      </c>
      <c r="D577" t="s">
        <v>675</v>
      </c>
      <c r="E577">
        <v>9</v>
      </c>
      <c r="G577">
        <v>379</v>
      </c>
      <c r="H577">
        <v>379</v>
      </c>
      <c r="I577">
        <v>366</v>
      </c>
      <c r="J577" t="s">
        <v>532</v>
      </c>
      <c r="K577">
        <v>365.5</v>
      </c>
      <c r="L577">
        <v>10.7549685592206</v>
      </c>
      <c r="M577">
        <v>9.2439341889673301</v>
      </c>
    </row>
    <row r="578" spans="2:13" x14ac:dyDescent="0.25">
      <c r="B578" t="s">
        <v>674</v>
      </c>
      <c r="C578" t="s">
        <v>681</v>
      </c>
      <c r="D578" t="s">
        <v>676</v>
      </c>
      <c r="E578">
        <v>9</v>
      </c>
      <c r="G578">
        <v>352</v>
      </c>
      <c r="H578">
        <v>352</v>
      </c>
      <c r="I578">
        <v>366</v>
      </c>
      <c r="J578" t="s">
        <v>532</v>
      </c>
      <c r="K578">
        <v>365.5</v>
      </c>
      <c r="L578">
        <v>7.7328998187140101</v>
      </c>
      <c r="M578">
        <v>9.2439341889673301</v>
      </c>
    </row>
    <row r="579" spans="2:13" x14ac:dyDescent="0.25">
      <c r="B579" t="s">
        <v>527</v>
      </c>
      <c r="C579" t="s">
        <v>682</v>
      </c>
      <c r="D579" t="s">
        <v>529</v>
      </c>
      <c r="E579">
        <v>10</v>
      </c>
      <c r="F579">
        <v>622</v>
      </c>
      <c r="G579">
        <v>799314</v>
      </c>
      <c r="H579">
        <v>799314</v>
      </c>
      <c r="I579">
        <v>782436</v>
      </c>
      <c r="J579" t="s">
        <v>530</v>
      </c>
      <c r="K579">
        <v>782436</v>
      </c>
      <c r="L579">
        <v>639.09200233626404</v>
      </c>
      <c r="M579">
        <v>623.70612403602502</v>
      </c>
    </row>
    <row r="580" spans="2:13" x14ac:dyDescent="0.25">
      <c r="B580" t="s">
        <v>527</v>
      </c>
      <c r="C580" t="s">
        <v>682</v>
      </c>
      <c r="D580" t="s">
        <v>531</v>
      </c>
      <c r="E580">
        <v>10</v>
      </c>
      <c r="F580">
        <v>622</v>
      </c>
      <c r="G580">
        <v>765558</v>
      </c>
      <c r="H580">
        <v>765558</v>
      </c>
      <c r="I580">
        <v>782436</v>
      </c>
      <c r="J580" t="s">
        <v>532</v>
      </c>
      <c r="K580">
        <v>782436</v>
      </c>
      <c r="L580">
        <v>608.32024573578599</v>
      </c>
      <c r="M580">
        <v>623.70612403602502</v>
      </c>
    </row>
    <row r="581" spans="2:13" x14ac:dyDescent="0.25">
      <c r="B581" t="s">
        <v>533</v>
      </c>
      <c r="C581" t="s">
        <v>682</v>
      </c>
      <c r="D581" t="s">
        <v>535</v>
      </c>
      <c r="E581">
        <v>10</v>
      </c>
      <c r="F581">
        <v>155.5</v>
      </c>
      <c r="G581">
        <v>209984</v>
      </c>
      <c r="H581">
        <v>209984</v>
      </c>
      <c r="I581">
        <v>211529</v>
      </c>
      <c r="J581" t="s">
        <v>532</v>
      </c>
      <c r="K581">
        <v>211529</v>
      </c>
      <c r="L581">
        <v>153.04106032604199</v>
      </c>
      <c r="M581">
        <v>154.19329288007401</v>
      </c>
    </row>
    <row r="582" spans="2:13" x14ac:dyDescent="0.25">
      <c r="B582" t="s">
        <v>533</v>
      </c>
      <c r="C582" t="s">
        <v>682</v>
      </c>
      <c r="D582" t="s">
        <v>534</v>
      </c>
      <c r="E582">
        <v>10</v>
      </c>
      <c r="F582">
        <v>155.5</v>
      </c>
      <c r="G582">
        <v>213074</v>
      </c>
      <c r="H582">
        <v>213074</v>
      </c>
      <c r="I582">
        <v>211529</v>
      </c>
      <c r="J582" t="s">
        <v>532</v>
      </c>
      <c r="K582">
        <v>211529</v>
      </c>
      <c r="L582">
        <v>155.34552543410601</v>
      </c>
      <c r="M582">
        <v>154.19329288007401</v>
      </c>
    </row>
    <row r="583" spans="2:13" x14ac:dyDescent="0.25">
      <c r="B583" t="s">
        <v>536</v>
      </c>
      <c r="C583" t="s">
        <v>682</v>
      </c>
      <c r="D583" t="s">
        <v>537</v>
      </c>
      <c r="E583">
        <v>10</v>
      </c>
      <c r="F583">
        <v>38.875</v>
      </c>
      <c r="G583">
        <v>53283</v>
      </c>
      <c r="H583">
        <v>53283</v>
      </c>
      <c r="I583">
        <v>53568</v>
      </c>
      <c r="J583" t="s">
        <v>532</v>
      </c>
      <c r="K583">
        <v>53567.5</v>
      </c>
      <c r="L583">
        <v>38.501909337851401</v>
      </c>
      <c r="M583">
        <v>38.706891313730303</v>
      </c>
    </row>
    <row r="584" spans="2:13" x14ac:dyDescent="0.25">
      <c r="B584" t="s">
        <v>536</v>
      </c>
      <c r="C584" t="s">
        <v>682</v>
      </c>
      <c r="D584" t="s">
        <v>538</v>
      </c>
      <c r="E584">
        <v>10</v>
      </c>
      <c r="F584">
        <v>38.875</v>
      </c>
      <c r="G584">
        <v>53852</v>
      </c>
      <c r="H584">
        <v>53852</v>
      </c>
      <c r="I584">
        <v>53568</v>
      </c>
      <c r="J584" t="s">
        <v>532</v>
      </c>
      <c r="K584">
        <v>53567.5</v>
      </c>
      <c r="L584">
        <v>38.911873289609296</v>
      </c>
      <c r="M584">
        <v>38.706891313730303</v>
      </c>
    </row>
    <row r="585" spans="2:13" x14ac:dyDescent="0.25">
      <c r="B585" t="s">
        <v>539</v>
      </c>
      <c r="C585" t="s">
        <v>682</v>
      </c>
      <c r="D585" t="s">
        <v>540</v>
      </c>
      <c r="E585">
        <v>10</v>
      </c>
      <c r="F585">
        <v>9.71875</v>
      </c>
      <c r="G585">
        <v>13667</v>
      </c>
      <c r="H585">
        <v>13667</v>
      </c>
      <c r="I585">
        <v>13658</v>
      </c>
      <c r="J585" t="s">
        <v>532</v>
      </c>
      <c r="K585">
        <v>13658</v>
      </c>
      <c r="L585">
        <v>9.9070566812905891</v>
      </c>
      <c r="M585">
        <v>9.9005154183676805</v>
      </c>
    </row>
    <row r="586" spans="2:13" x14ac:dyDescent="0.25">
      <c r="B586" t="s">
        <v>539</v>
      </c>
      <c r="C586" t="s">
        <v>682</v>
      </c>
      <c r="D586" t="s">
        <v>541</v>
      </c>
      <c r="E586">
        <v>10</v>
      </c>
      <c r="F586">
        <v>9.71875</v>
      </c>
      <c r="G586">
        <v>13649</v>
      </c>
      <c r="H586">
        <v>13649</v>
      </c>
      <c r="I586">
        <v>13658</v>
      </c>
      <c r="J586" t="s">
        <v>532</v>
      </c>
      <c r="K586">
        <v>13658</v>
      </c>
      <c r="L586">
        <v>9.89397415544477</v>
      </c>
      <c r="M586">
        <v>9.9005154183676805</v>
      </c>
    </row>
    <row r="587" spans="2:13" x14ac:dyDescent="0.25">
      <c r="B587" t="s">
        <v>542</v>
      </c>
      <c r="C587" t="s">
        <v>682</v>
      </c>
      <c r="D587" t="s">
        <v>544</v>
      </c>
      <c r="E587">
        <v>10</v>
      </c>
      <c r="F587">
        <v>2.4296875</v>
      </c>
      <c r="G587">
        <v>3413</v>
      </c>
      <c r="H587">
        <v>3413</v>
      </c>
      <c r="I587">
        <v>3409</v>
      </c>
      <c r="J587" t="s">
        <v>532</v>
      </c>
      <c r="K587">
        <v>3409</v>
      </c>
      <c r="L587">
        <v>2.3990941097101</v>
      </c>
      <c r="M587">
        <v>2.3961271284058099</v>
      </c>
    </row>
    <row r="588" spans="2:13" x14ac:dyDescent="0.25">
      <c r="B588" t="s">
        <v>542</v>
      </c>
      <c r="C588" t="s">
        <v>682</v>
      </c>
      <c r="D588" t="s">
        <v>543</v>
      </c>
      <c r="E588">
        <v>10</v>
      </c>
      <c r="F588">
        <v>2.4296875</v>
      </c>
      <c r="G588">
        <v>3405</v>
      </c>
      <c r="H588">
        <v>3405</v>
      </c>
      <c r="I588">
        <v>3409</v>
      </c>
      <c r="J588" t="s">
        <v>532</v>
      </c>
      <c r="K588">
        <v>3409</v>
      </c>
      <c r="L588">
        <v>2.39316014710153</v>
      </c>
      <c r="M588">
        <v>2.3961271284058099</v>
      </c>
    </row>
    <row r="589" spans="2:13" x14ac:dyDescent="0.25">
      <c r="B589" t="s">
        <v>545</v>
      </c>
      <c r="C589" t="s">
        <v>682</v>
      </c>
      <c r="D589" t="s">
        <v>547</v>
      </c>
      <c r="E589">
        <v>10</v>
      </c>
      <c r="F589">
        <v>0.607421875</v>
      </c>
      <c r="G589">
        <v>1016</v>
      </c>
      <c r="H589">
        <v>1016</v>
      </c>
      <c r="I589">
        <v>1043</v>
      </c>
      <c r="J589" t="s">
        <v>532</v>
      </c>
      <c r="K589">
        <v>1042.5</v>
      </c>
      <c r="L589">
        <v>0.60579397312082395</v>
      </c>
      <c r="M589">
        <v>0.62588507447337305</v>
      </c>
    </row>
    <row r="590" spans="2:13" x14ac:dyDescent="0.25">
      <c r="B590" t="s">
        <v>545</v>
      </c>
      <c r="C590" t="s">
        <v>682</v>
      </c>
      <c r="D590" t="s">
        <v>546</v>
      </c>
      <c r="E590">
        <v>10</v>
      </c>
      <c r="F590">
        <v>0.607421875</v>
      </c>
      <c r="G590">
        <v>1069</v>
      </c>
      <c r="H590">
        <v>1069</v>
      </c>
      <c r="I590">
        <v>1043</v>
      </c>
      <c r="J590" t="s">
        <v>532</v>
      </c>
      <c r="K590">
        <v>1042.5</v>
      </c>
      <c r="L590">
        <v>0.64597617582592104</v>
      </c>
      <c r="M590">
        <v>0.62588507447337305</v>
      </c>
    </row>
    <row r="591" spans="2:13" x14ac:dyDescent="0.25">
      <c r="B591" t="s">
        <v>548</v>
      </c>
      <c r="C591" t="s">
        <v>682</v>
      </c>
      <c r="D591" t="s">
        <v>550</v>
      </c>
      <c r="E591">
        <v>10</v>
      </c>
      <c r="F591">
        <v>0.15185546875</v>
      </c>
      <c r="G591">
        <v>426</v>
      </c>
      <c r="H591">
        <v>426</v>
      </c>
      <c r="I591">
        <v>412</v>
      </c>
      <c r="J591" t="s">
        <v>532</v>
      </c>
      <c r="K591">
        <v>412</v>
      </c>
      <c r="L591">
        <v>0.15424363952068501</v>
      </c>
      <c r="M591">
        <v>0.143363639558965</v>
      </c>
    </row>
    <row r="592" spans="2:13" x14ac:dyDescent="0.25">
      <c r="B592" t="s">
        <v>548</v>
      </c>
      <c r="C592" t="s">
        <v>682</v>
      </c>
      <c r="D592" t="s">
        <v>549</v>
      </c>
      <c r="E592">
        <v>10</v>
      </c>
      <c r="F592">
        <v>0.15185546875</v>
      </c>
      <c r="G592">
        <v>398</v>
      </c>
      <c r="H592">
        <v>398</v>
      </c>
      <c r="I592">
        <v>412</v>
      </c>
      <c r="J592" t="s">
        <v>532</v>
      </c>
      <c r="K592">
        <v>412</v>
      </c>
      <c r="L592">
        <v>0.13248363959724499</v>
      </c>
      <c r="M592">
        <v>0.143363639558965</v>
      </c>
    </row>
    <row r="593" spans="2:13" x14ac:dyDescent="0.25">
      <c r="B593" t="s">
        <v>551</v>
      </c>
      <c r="C593" t="s">
        <v>682</v>
      </c>
      <c r="D593" t="s">
        <v>555</v>
      </c>
      <c r="E593">
        <v>10</v>
      </c>
      <c r="F593">
        <v>0</v>
      </c>
      <c r="G593">
        <v>225</v>
      </c>
      <c r="H593">
        <v>225</v>
      </c>
      <c r="I593">
        <v>233</v>
      </c>
      <c r="J593" t="s">
        <v>553</v>
      </c>
      <c r="K593">
        <v>233</v>
      </c>
      <c r="L593" t="s">
        <v>554</v>
      </c>
      <c r="M593" t="s">
        <v>554</v>
      </c>
    </row>
    <row r="594" spans="2:13" x14ac:dyDescent="0.25">
      <c r="B594" t="s">
        <v>551</v>
      </c>
      <c r="C594" t="s">
        <v>682</v>
      </c>
      <c r="D594" t="s">
        <v>552</v>
      </c>
      <c r="E594">
        <v>10</v>
      </c>
      <c r="F594">
        <v>0</v>
      </c>
      <c r="G594">
        <v>241</v>
      </c>
      <c r="H594">
        <v>241</v>
      </c>
      <c r="I594">
        <v>233</v>
      </c>
      <c r="J594" t="s">
        <v>556</v>
      </c>
      <c r="K594">
        <v>233</v>
      </c>
      <c r="L594">
        <v>8.6370731473310192E-3</v>
      </c>
      <c r="M594" t="s">
        <v>554</v>
      </c>
    </row>
    <row r="595" spans="2:13" x14ac:dyDescent="0.25">
      <c r="B595" t="s">
        <v>557</v>
      </c>
      <c r="C595" t="s">
        <v>682</v>
      </c>
      <c r="D595" t="s">
        <v>559</v>
      </c>
      <c r="E595">
        <v>10</v>
      </c>
      <c r="G595">
        <v>309</v>
      </c>
      <c r="H595">
        <v>309</v>
      </c>
      <c r="I595">
        <v>336</v>
      </c>
      <c r="J595" t="s">
        <v>532</v>
      </c>
      <c r="K595">
        <v>335.5</v>
      </c>
      <c r="L595">
        <v>6.2844052108283602E-2</v>
      </c>
      <c r="M595">
        <v>8.3629832215762798E-2</v>
      </c>
    </row>
    <row r="596" spans="2:13" x14ac:dyDescent="0.25">
      <c r="B596" t="s">
        <v>557</v>
      </c>
      <c r="C596" t="s">
        <v>682</v>
      </c>
      <c r="D596" t="s">
        <v>558</v>
      </c>
      <c r="E596">
        <v>10</v>
      </c>
      <c r="G596">
        <v>362</v>
      </c>
      <c r="H596">
        <v>362</v>
      </c>
      <c r="I596">
        <v>336</v>
      </c>
      <c r="J596" t="s">
        <v>532</v>
      </c>
      <c r="K596">
        <v>335.5</v>
      </c>
      <c r="L596">
        <v>0.10441561232324199</v>
      </c>
      <c r="M596">
        <v>8.3629832215762798E-2</v>
      </c>
    </row>
    <row r="597" spans="2:13" x14ac:dyDescent="0.25">
      <c r="B597" t="s">
        <v>560</v>
      </c>
      <c r="C597" t="s">
        <v>682</v>
      </c>
      <c r="D597" t="s">
        <v>562</v>
      </c>
      <c r="E597">
        <v>10</v>
      </c>
      <c r="G597">
        <v>300</v>
      </c>
      <c r="H597">
        <v>300</v>
      </c>
      <c r="I597">
        <v>303</v>
      </c>
      <c r="J597" t="s">
        <v>532</v>
      </c>
      <c r="K597">
        <v>303</v>
      </c>
      <c r="L597">
        <v>5.5744762485013297E-2</v>
      </c>
      <c r="M597">
        <v>5.81119855099596E-2</v>
      </c>
    </row>
    <row r="598" spans="2:13" x14ac:dyDescent="0.25">
      <c r="B598" t="s">
        <v>560</v>
      </c>
      <c r="C598" t="s">
        <v>682</v>
      </c>
      <c r="D598" t="s">
        <v>561</v>
      </c>
      <c r="E598">
        <v>10</v>
      </c>
      <c r="G598">
        <v>306</v>
      </c>
      <c r="H598">
        <v>306</v>
      </c>
      <c r="I598">
        <v>303</v>
      </c>
      <c r="J598" t="s">
        <v>532</v>
      </c>
      <c r="K598">
        <v>303</v>
      </c>
      <c r="L598">
        <v>6.0479208534905897E-2</v>
      </c>
      <c r="M598">
        <v>5.81119855099596E-2</v>
      </c>
    </row>
    <row r="599" spans="2:13" x14ac:dyDescent="0.25">
      <c r="B599" t="s">
        <v>563</v>
      </c>
      <c r="C599" t="s">
        <v>682</v>
      </c>
      <c r="D599" t="s">
        <v>564</v>
      </c>
      <c r="E599">
        <v>10</v>
      </c>
      <c r="G599">
        <v>785</v>
      </c>
      <c r="H599">
        <v>785</v>
      </c>
      <c r="I599">
        <v>777</v>
      </c>
      <c r="J599" t="s">
        <v>532</v>
      </c>
      <c r="K599">
        <v>777</v>
      </c>
      <c r="L599">
        <v>0.43009337745632098</v>
      </c>
      <c r="M599">
        <v>0.42398861287637002</v>
      </c>
    </row>
    <row r="600" spans="2:13" x14ac:dyDescent="0.25">
      <c r="B600" t="s">
        <v>563</v>
      </c>
      <c r="C600" t="s">
        <v>682</v>
      </c>
      <c r="D600" t="s">
        <v>565</v>
      </c>
      <c r="E600">
        <v>10</v>
      </c>
      <c r="G600">
        <v>769</v>
      </c>
      <c r="H600">
        <v>769</v>
      </c>
      <c r="I600">
        <v>777</v>
      </c>
      <c r="J600" t="s">
        <v>532</v>
      </c>
      <c r="K600">
        <v>777</v>
      </c>
      <c r="L600">
        <v>0.417883848296419</v>
      </c>
      <c r="M600">
        <v>0.42398861287637002</v>
      </c>
    </row>
    <row r="601" spans="2:13" x14ac:dyDescent="0.25">
      <c r="B601" t="s">
        <v>566</v>
      </c>
      <c r="C601" t="s">
        <v>682</v>
      </c>
      <c r="D601" t="s">
        <v>568</v>
      </c>
      <c r="E601">
        <v>10</v>
      </c>
      <c r="G601">
        <v>239</v>
      </c>
      <c r="H601">
        <v>239</v>
      </c>
      <c r="I601">
        <v>247</v>
      </c>
      <c r="J601" t="s">
        <v>556</v>
      </c>
      <c r="K601">
        <v>247</v>
      </c>
      <c r="L601">
        <v>7.0044181829550297E-3</v>
      </c>
      <c r="M601">
        <v>1.34794132358703E-2</v>
      </c>
    </row>
    <row r="602" spans="2:13" x14ac:dyDescent="0.25">
      <c r="B602" t="s">
        <v>566</v>
      </c>
      <c r="C602" t="s">
        <v>682</v>
      </c>
      <c r="D602" t="s">
        <v>567</v>
      </c>
      <c r="E602">
        <v>10</v>
      </c>
      <c r="G602">
        <v>255</v>
      </c>
      <c r="H602">
        <v>255</v>
      </c>
      <c r="I602">
        <v>247</v>
      </c>
      <c r="J602" t="s">
        <v>556</v>
      </c>
      <c r="K602">
        <v>247</v>
      </c>
      <c r="L602">
        <v>1.9954408288785499E-2</v>
      </c>
      <c r="M602">
        <v>1.34794132358703E-2</v>
      </c>
    </row>
    <row r="603" spans="2:13" x14ac:dyDescent="0.25">
      <c r="B603" t="s">
        <v>569</v>
      </c>
      <c r="C603" t="s">
        <v>682</v>
      </c>
      <c r="D603" t="s">
        <v>570</v>
      </c>
      <c r="E603">
        <v>10</v>
      </c>
      <c r="G603">
        <v>255</v>
      </c>
      <c r="H603">
        <v>255</v>
      </c>
      <c r="I603">
        <v>266</v>
      </c>
      <c r="J603" t="s">
        <v>556</v>
      </c>
      <c r="K603">
        <v>266</v>
      </c>
      <c r="L603">
        <v>1.9954408288785499E-2</v>
      </c>
      <c r="M603">
        <v>2.8740485074257801E-2</v>
      </c>
    </row>
    <row r="604" spans="2:13" x14ac:dyDescent="0.25">
      <c r="B604" t="s">
        <v>569</v>
      </c>
      <c r="C604" t="s">
        <v>682</v>
      </c>
      <c r="D604" t="s">
        <v>571</v>
      </c>
      <c r="E604">
        <v>10</v>
      </c>
      <c r="G604">
        <v>277</v>
      </c>
      <c r="H604">
        <v>277</v>
      </c>
      <c r="I604">
        <v>266</v>
      </c>
      <c r="J604" t="s">
        <v>532</v>
      </c>
      <c r="K604">
        <v>266</v>
      </c>
      <c r="L604">
        <v>3.7526561859730002E-2</v>
      </c>
      <c r="M604">
        <v>2.8740485074257801E-2</v>
      </c>
    </row>
    <row r="605" spans="2:13" x14ac:dyDescent="0.25">
      <c r="B605" t="s">
        <v>572</v>
      </c>
      <c r="C605" t="s">
        <v>682</v>
      </c>
      <c r="D605" t="s">
        <v>574</v>
      </c>
      <c r="E605">
        <v>10</v>
      </c>
      <c r="G605">
        <v>636</v>
      </c>
      <c r="H605">
        <v>636</v>
      </c>
      <c r="I605">
        <v>633</v>
      </c>
      <c r="J605" t="s">
        <v>532</v>
      </c>
      <c r="K605">
        <v>632.5</v>
      </c>
      <c r="L605">
        <v>0.31614120954468999</v>
      </c>
      <c r="M605">
        <v>0.31345682333873098</v>
      </c>
    </row>
    <row r="606" spans="2:13" x14ac:dyDescent="0.25">
      <c r="B606" t="s">
        <v>572</v>
      </c>
      <c r="C606" t="s">
        <v>682</v>
      </c>
      <c r="D606" t="s">
        <v>573</v>
      </c>
      <c r="E606">
        <v>10</v>
      </c>
      <c r="G606">
        <v>629</v>
      </c>
      <c r="H606">
        <v>629</v>
      </c>
      <c r="I606">
        <v>633</v>
      </c>
      <c r="J606" t="s">
        <v>532</v>
      </c>
      <c r="K606">
        <v>632.5</v>
      </c>
      <c r="L606">
        <v>0.31077243713277097</v>
      </c>
      <c r="M606">
        <v>0.31345682333873098</v>
      </c>
    </row>
    <row r="607" spans="2:13" x14ac:dyDescent="0.25">
      <c r="B607" t="s">
        <v>575</v>
      </c>
      <c r="C607" t="s">
        <v>682</v>
      </c>
      <c r="D607" t="s">
        <v>576</v>
      </c>
      <c r="E607">
        <v>10</v>
      </c>
      <c r="G607">
        <v>786</v>
      </c>
      <c r="H607">
        <v>786</v>
      </c>
      <c r="I607">
        <v>791</v>
      </c>
      <c r="J607" t="s">
        <v>532</v>
      </c>
      <c r="K607">
        <v>791</v>
      </c>
      <c r="L607">
        <v>0.43085627880995903</v>
      </c>
      <c r="M607">
        <v>0.43467016766036998</v>
      </c>
    </row>
    <row r="608" spans="2:13" x14ac:dyDescent="0.25">
      <c r="B608" t="s">
        <v>575</v>
      </c>
      <c r="C608" t="s">
        <v>682</v>
      </c>
      <c r="D608" t="s">
        <v>577</v>
      </c>
      <c r="E608">
        <v>10</v>
      </c>
      <c r="G608">
        <v>796</v>
      </c>
      <c r="H608">
        <v>796</v>
      </c>
      <c r="I608">
        <v>791</v>
      </c>
      <c r="J608" t="s">
        <v>532</v>
      </c>
      <c r="K608">
        <v>791</v>
      </c>
      <c r="L608">
        <v>0.43848405651077998</v>
      </c>
      <c r="M608">
        <v>0.43467016766036998</v>
      </c>
    </row>
    <row r="609" spans="2:13" x14ac:dyDescent="0.25">
      <c r="B609" t="s">
        <v>578</v>
      </c>
      <c r="C609" t="s">
        <v>682</v>
      </c>
      <c r="D609" t="s">
        <v>580</v>
      </c>
      <c r="E609">
        <v>10</v>
      </c>
      <c r="G609">
        <v>476</v>
      </c>
      <c r="H609">
        <v>476</v>
      </c>
      <c r="I609">
        <v>462</v>
      </c>
      <c r="J609" t="s">
        <v>532</v>
      </c>
      <c r="K609">
        <v>462</v>
      </c>
      <c r="L609">
        <v>0.19297632830073899</v>
      </c>
      <c r="M609">
        <v>0.18214020426095601</v>
      </c>
    </row>
    <row r="610" spans="2:13" x14ac:dyDescent="0.25">
      <c r="B610" t="s">
        <v>578</v>
      </c>
      <c r="C610" t="s">
        <v>682</v>
      </c>
      <c r="D610" t="s">
        <v>579</v>
      </c>
      <c r="E610">
        <v>10</v>
      </c>
      <c r="G610">
        <v>448</v>
      </c>
      <c r="H610">
        <v>448</v>
      </c>
      <c r="I610">
        <v>462</v>
      </c>
      <c r="J610" t="s">
        <v>532</v>
      </c>
      <c r="K610">
        <v>462</v>
      </c>
      <c r="L610">
        <v>0.17130408022117399</v>
      </c>
      <c r="M610">
        <v>0.18214020426095601</v>
      </c>
    </row>
    <row r="611" spans="2:13" x14ac:dyDescent="0.25">
      <c r="B611" t="s">
        <v>581</v>
      </c>
      <c r="C611" t="s">
        <v>682</v>
      </c>
      <c r="D611" t="s">
        <v>582</v>
      </c>
      <c r="E611">
        <v>10</v>
      </c>
      <c r="G611">
        <v>307</v>
      </c>
      <c r="H611">
        <v>307</v>
      </c>
      <c r="I611">
        <v>299</v>
      </c>
      <c r="J611" t="s">
        <v>532</v>
      </c>
      <c r="K611">
        <v>299</v>
      </c>
      <c r="L611">
        <v>6.1267660427389098E-2</v>
      </c>
      <c r="M611">
        <v>5.4948887340131099E-2</v>
      </c>
    </row>
    <row r="612" spans="2:13" x14ac:dyDescent="0.25">
      <c r="B612" t="s">
        <v>581</v>
      </c>
      <c r="C612" t="s">
        <v>682</v>
      </c>
      <c r="D612" t="s">
        <v>583</v>
      </c>
      <c r="E612">
        <v>10</v>
      </c>
      <c r="G612">
        <v>291</v>
      </c>
      <c r="H612">
        <v>291</v>
      </c>
      <c r="I612">
        <v>299</v>
      </c>
      <c r="J612" t="s">
        <v>532</v>
      </c>
      <c r="K612">
        <v>299</v>
      </c>
      <c r="L612">
        <v>4.8630114252873002E-2</v>
      </c>
      <c r="M612">
        <v>5.4948887340131099E-2</v>
      </c>
    </row>
    <row r="613" spans="2:13" x14ac:dyDescent="0.25">
      <c r="B613" t="s">
        <v>584</v>
      </c>
      <c r="C613" t="s">
        <v>682</v>
      </c>
      <c r="D613" t="s">
        <v>585</v>
      </c>
      <c r="E613">
        <v>10</v>
      </c>
      <c r="G613">
        <v>391</v>
      </c>
      <c r="H613">
        <v>391</v>
      </c>
      <c r="I613">
        <v>392</v>
      </c>
      <c r="J613" t="s">
        <v>532</v>
      </c>
      <c r="K613">
        <v>392</v>
      </c>
      <c r="L613">
        <v>0.12703456454678499</v>
      </c>
      <c r="M613">
        <v>0.12781320141258901</v>
      </c>
    </row>
    <row r="614" spans="2:13" x14ac:dyDescent="0.25">
      <c r="B614" t="s">
        <v>584</v>
      </c>
      <c r="C614" t="s">
        <v>682</v>
      </c>
      <c r="D614" t="s">
        <v>586</v>
      </c>
      <c r="E614">
        <v>10</v>
      </c>
      <c r="G614">
        <v>393</v>
      </c>
      <c r="H614">
        <v>393</v>
      </c>
      <c r="I614">
        <v>392</v>
      </c>
      <c r="J614" t="s">
        <v>532</v>
      </c>
      <c r="K614">
        <v>392</v>
      </c>
      <c r="L614">
        <v>0.12859183827839299</v>
      </c>
      <c r="M614">
        <v>0.12781320141258901</v>
      </c>
    </row>
    <row r="615" spans="2:13" x14ac:dyDescent="0.25">
      <c r="B615" t="s">
        <v>587</v>
      </c>
      <c r="C615" t="s">
        <v>682</v>
      </c>
      <c r="D615" t="s">
        <v>589</v>
      </c>
      <c r="E615">
        <v>10</v>
      </c>
      <c r="G615">
        <v>310</v>
      </c>
      <c r="H615">
        <v>310</v>
      </c>
      <c r="I615">
        <v>311</v>
      </c>
      <c r="J615" t="s">
        <v>532</v>
      </c>
      <c r="K615">
        <v>310.5</v>
      </c>
      <c r="L615">
        <v>6.3631996349330103E-2</v>
      </c>
      <c r="M615">
        <v>6.4025886039728294E-2</v>
      </c>
    </row>
    <row r="616" spans="2:13" x14ac:dyDescent="0.25">
      <c r="B616" t="s">
        <v>587</v>
      </c>
      <c r="C616" t="s">
        <v>682</v>
      </c>
      <c r="D616" t="s">
        <v>588</v>
      </c>
      <c r="E616">
        <v>10</v>
      </c>
      <c r="G616">
        <v>311</v>
      </c>
      <c r="H616">
        <v>311</v>
      </c>
      <c r="I616">
        <v>311</v>
      </c>
      <c r="J616" t="s">
        <v>532</v>
      </c>
      <c r="K616">
        <v>310.5</v>
      </c>
      <c r="L616">
        <v>6.4419775730126402E-2</v>
      </c>
      <c r="M616">
        <v>6.4025886039728294E-2</v>
      </c>
    </row>
    <row r="617" spans="2:13" x14ac:dyDescent="0.25">
      <c r="B617" t="s">
        <v>590</v>
      </c>
      <c r="C617" t="s">
        <v>682</v>
      </c>
      <c r="D617" t="s">
        <v>591</v>
      </c>
      <c r="E617">
        <v>10</v>
      </c>
      <c r="G617">
        <v>842</v>
      </c>
      <c r="H617">
        <v>842</v>
      </c>
      <c r="I617">
        <v>843</v>
      </c>
      <c r="J617" t="s">
        <v>532</v>
      </c>
      <c r="K617">
        <v>842.5</v>
      </c>
      <c r="L617">
        <v>0.47354385967736901</v>
      </c>
      <c r="M617">
        <v>0.473924697682445</v>
      </c>
    </row>
    <row r="618" spans="2:13" x14ac:dyDescent="0.25">
      <c r="B618" t="s">
        <v>590</v>
      </c>
      <c r="C618" t="s">
        <v>682</v>
      </c>
      <c r="D618" t="s">
        <v>592</v>
      </c>
      <c r="E618">
        <v>10</v>
      </c>
      <c r="G618">
        <v>843</v>
      </c>
      <c r="H618">
        <v>843</v>
      </c>
      <c r="I618">
        <v>843</v>
      </c>
      <c r="J618" t="s">
        <v>532</v>
      </c>
      <c r="K618">
        <v>842.5</v>
      </c>
      <c r="L618">
        <v>0.47430553568752198</v>
      </c>
      <c r="M618">
        <v>0.473924697682445</v>
      </c>
    </row>
    <row r="619" spans="2:13" x14ac:dyDescent="0.25">
      <c r="B619" t="s">
        <v>593</v>
      </c>
      <c r="C619" t="s">
        <v>682</v>
      </c>
      <c r="D619" t="s">
        <v>595</v>
      </c>
      <c r="E619">
        <v>10</v>
      </c>
      <c r="G619">
        <v>504</v>
      </c>
      <c r="H619">
        <v>504</v>
      </c>
      <c r="I619">
        <v>478</v>
      </c>
      <c r="J619" t="s">
        <v>532</v>
      </c>
      <c r="K619">
        <v>477.5</v>
      </c>
      <c r="L619">
        <v>0.21460757963736701</v>
      </c>
      <c r="M619">
        <v>0.194117899894377</v>
      </c>
    </row>
    <row r="620" spans="2:13" x14ac:dyDescent="0.25">
      <c r="B620" t="s">
        <v>593</v>
      </c>
      <c r="C620" t="s">
        <v>682</v>
      </c>
      <c r="D620" t="s">
        <v>594</v>
      </c>
      <c r="E620">
        <v>10</v>
      </c>
      <c r="G620">
        <v>451</v>
      </c>
      <c r="H620">
        <v>451</v>
      </c>
      <c r="I620">
        <v>478</v>
      </c>
      <c r="J620" t="s">
        <v>532</v>
      </c>
      <c r="K620">
        <v>477.5</v>
      </c>
      <c r="L620">
        <v>0.17362822015138801</v>
      </c>
      <c r="M620">
        <v>0.194117899894377</v>
      </c>
    </row>
    <row r="621" spans="2:13" x14ac:dyDescent="0.25">
      <c r="B621" t="s">
        <v>596</v>
      </c>
      <c r="C621" t="s">
        <v>682</v>
      </c>
      <c r="D621" t="s">
        <v>598</v>
      </c>
      <c r="E621">
        <v>10</v>
      </c>
      <c r="G621">
        <v>314</v>
      </c>
      <c r="H621">
        <v>314</v>
      </c>
      <c r="I621">
        <v>319</v>
      </c>
      <c r="J621" t="s">
        <v>532</v>
      </c>
      <c r="K621">
        <v>318.5</v>
      </c>
      <c r="L621">
        <v>6.6782145329078599E-2</v>
      </c>
      <c r="M621">
        <v>7.0321563064299597E-2</v>
      </c>
    </row>
    <row r="622" spans="2:13" x14ac:dyDescent="0.25">
      <c r="B622" t="s">
        <v>596</v>
      </c>
      <c r="C622" t="s">
        <v>682</v>
      </c>
      <c r="D622" t="s">
        <v>597</v>
      </c>
      <c r="E622">
        <v>10</v>
      </c>
      <c r="G622">
        <v>323</v>
      </c>
      <c r="H622">
        <v>323</v>
      </c>
      <c r="I622">
        <v>319</v>
      </c>
      <c r="J622" t="s">
        <v>532</v>
      </c>
      <c r="K622">
        <v>318.5</v>
      </c>
      <c r="L622">
        <v>7.3860980799520498E-2</v>
      </c>
      <c r="M622">
        <v>7.0321563064299597E-2</v>
      </c>
    </row>
    <row r="623" spans="2:13" x14ac:dyDescent="0.25">
      <c r="B623" t="s">
        <v>599</v>
      </c>
      <c r="C623" t="s">
        <v>682</v>
      </c>
      <c r="D623" t="s">
        <v>600</v>
      </c>
      <c r="E623">
        <v>10</v>
      </c>
      <c r="G623">
        <v>1403</v>
      </c>
      <c r="H623">
        <v>1403</v>
      </c>
      <c r="I623">
        <v>1339</v>
      </c>
      <c r="J623" t="s">
        <v>532</v>
      </c>
      <c r="K623">
        <v>1339</v>
      </c>
      <c r="L623">
        <v>0.89833675818951897</v>
      </c>
      <c r="M623">
        <v>0.85006025303039701</v>
      </c>
    </row>
    <row r="624" spans="2:13" x14ac:dyDescent="0.25">
      <c r="B624" t="s">
        <v>599</v>
      </c>
      <c r="C624" t="s">
        <v>682</v>
      </c>
      <c r="D624" t="s">
        <v>601</v>
      </c>
      <c r="E624">
        <v>10</v>
      </c>
      <c r="G624">
        <v>1275</v>
      </c>
      <c r="H624">
        <v>1275</v>
      </c>
      <c r="I624">
        <v>1339</v>
      </c>
      <c r="J624" t="s">
        <v>532</v>
      </c>
      <c r="K624">
        <v>1339</v>
      </c>
      <c r="L624">
        <v>0.80178374787127504</v>
      </c>
      <c r="M624">
        <v>0.85006025303039701</v>
      </c>
    </row>
    <row r="625" spans="2:13" x14ac:dyDescent="0.25">
      <c r="B625" t="s">
        <v>602</v>
      </c>
      <c r="C625" t="s">
        <v>682</v>
      </c>
      <c r="D625" t="s">
        <v>604</v>
      </c>
      <c r="E625">
        <v>10</v>
      </c>
      <c r="G625">
        <v>327</v>
      </c>
      <c r="H625">
        <v>327</v>
      </c>
      <c r="I625">
        <v>322</v>
      </c>
      <c r="J625" t="s">
        <v>532</v>
      </c>
      <c r="K625">
        <v>322</v>
      </c>
      <c r="L625">
        <v>7.7003384629438995E-2</v>
      </c>
      <c r="M625">
        <v>7.3073243980093794E-2</v>
      </c>
    </row>
    <row r="626" spans="2:13" x14ac:dyDescent="0.25">
      <c r="B626" t="s">
        <v>602</v>
      </c>
      <c r="C626" t="s">
        <v>682</v>
      </c>
      <c r="D626" t="s">
        <v>603</v>
      </c>
      <c r="E626">
        <v>10</v>
      </c>
      <c r="G626">
        <v>317</v>
      </c>
      <c r="H626">
        <v>317</v>
      </c>
      <c r="I626">
        <v>322</v>
      </c>
      <c r="J626" t="s">
        <v>532</v>
      </c>
      <c r="K626">
        <v>322</v>
      </c>
      <c r="L626">
        <v>6.9143103330748606E-2</v>
      </c>
      <c r="M626">
        <v>7.3073243980093794E-2</v>
      </c>
    </row>
    <row r="627" spans="2:13" x14ac:dyDescent="0.25">
      <c r="B627" t="s">
        <v>605</v>
      </c>
      <c r="C627" t="s">
        <v>682</v>
      </c>
      <c r="D627" t="s">
        <v>606</v>
      </c>
      <c r="E627">
        <v>10</v>
      </c>
      <c r="G627">
        <v>724</v>
      </c>
      <c r="H627">
        <v>724</v>
      </c>
      <c r="I627">
        <v>706</v>
      </c>
      <c r="J627" t="s">
        <v>532</v>
      </c>
      <c r="K627">
        <v>706</v>
      </c>
      <c r="L627">
        <v>0.383511907471207</v>
      </c>
      <c r="M627">
        <v>0.36974462343445402</v>
      </c>
    </row>
    <row r="628" spans="2:13" x14ac:dyDescent="0.25">
      <c r="B628" t="s">
        <v>605</v>
      </c>
      <c r="C628" t="s">
        <v>682</v>
      </c>
      <c r="D628" t="s">
        <v>607</v>
      </c>
      <c r="E628">
        <v>10</v>
      </c>
      <c r="G628">
        <v>688</v>
      </c>
      <c r="H628">
        <v>688</v>
      </c>
      <c r="I628">
        <v>706</v>
      </c>
      <c r="J628" t="s">
        <v>532</v>
      </c>
      <c r="K628">
        <v>706</v>
      </c>
      <c r="L628">
        <v>0.35597733939770099</v>
      </c>
      <c r="M628">
        <v>0.36974462343445402</v>
      </c>
    </row>
    <row r="629" spans="2:13" x14ac:dyDescent="0.25">
      <c r="B629" t="s">
        <v>608</v>
      </c>
      <c r="C629" t="s">
        <v>682</v>
      </c>
      <c r="D629" t="s">
        <v>609</v>
      </c>
      <c r="E629">
        <v>10</v>
      </c>
      <c r="G629">
        <v>272</v>
      </c>
      <c r="H629">
        <v>272</v>
      </c>
      <c r="I629">
        <v>274</v>
      </c>
      <c r="J629" t="s">
        <v>532</v>
      </c>
      <c r="K629">
        <v>273.5</v>
      </c>
      <c r="L629">
        <v>3.3548231077652597E-2</v>
      </c>
      <c r="M629">
        <v>3.4742180743685402E-2</v>
      </c>
    </row>
    <row r="630" spans="2:13" x14ac:dyDescent="0.25">
      <c r="B630" t="s">
        <v>608</v>
      </c>
      <c r="C630" t="s">
        <v>682</v>
      </c>
      <c r="D630" t="s">
        <v>610</v>
      </c>
      <c r="E630">
        <v>10</v>
      </c>
      <c r="G630">
        <v>275</v>
      </c>
      <c r="H630">
        <v>275</v>
      </c>
      <c r="I630">
        <v>274</v>
      </c>
      <c r="J630" t="s">
        <v>532</v>
      </c>
      <c r="K630">
        <v>273.5</v>
      </c>
      <c r="L630">
        <v>3.59361304097182E-2</v>
      </c>
      <c r="M630">
        <v>3.4742180743685402E-2</v>
      </c>
    </row>
    <row r="631" spans="2:13" x14ac:dyDescent="0.25">
      <c r="B631" t="s">
        <v>611</v>
      </c>
      <c r="C631" t="s">
        <v>682</v>
      </c>
      <c r="D631" t="s">
        <v>612</v>
      </c>
      <c r="E631">
        <v>10</v>
      </c>
      <c r="G631">
        <v>446</v>
      </c>
      <c r="H631">
        <v>446</v>
      </c>
      <c r="I631">
        <v>430</v>
      </c>
      <c r="J631" t="s">
        <v>532</v>
      </c>
      <c r="K631">
        <v>429.5</v>
      </c>
      <c r="L631">
        <v>0.16975435881911999</v>
      </c>
      <c r="M631">
        <v>0.156951030466046</v>
      </c>
    </row>
    <row r="632" spans="2:13" x14ac:dyDescent="0.25">
      <c r="B632" t="s">
        <v>611</v>
      </c>
      <c r="C632" t="s">
        <v>682</v>
      </c>
      <c r="D632" t="s">
        <v>613</v>
      </c>
      <c r="E632">
        <v>10</v>
      </c>
      <c r="G632">
        <v>413</v>
      </c>
      <c r="H632">
        <v>413</v>
      </c>
      <c r="I632">
        <v>430</v>
      </c>
      <c r="J632" t="s">
        <v>532</v>
      </c>
      <c r="K632">
        <v>429.5</v>
      </c>
      <c r="L632">
        <v>0.14414770211297301</v>
      </c>
      <c r="M632">
        <v>0.156951030466046</v>
      </c>
    </row>
    <row r="633" spans="2:13" x14ac:dyDescent="0.25">
      <c r="B633" t="s">
        <v>614</v>
      </c>
      <c r="C633" t="s">
        <v>682</v>
      </c>
      <c r="D633" t="s">
        <v>616</v>
      </c>
      <c r="E633">
        <v>10</v>
      </c>
      <c r="G633">
        <v>486</v>
      </c>
      <c r="H633">
        <v>486</v>
      </c>
      <c r="I633">
        <v>484</v>
      </c>
      <c r="J633" t="s">
        <v>532</v>
      </c>
      <c r="K633">
        <v>483.5</v>
      </c>
      <c r="L633">
        <v>0.20070623782913699</v>
      </c>
      <c r="M633">
        <v>0.198774079907791</v>
      </c>
    </row>
    <row r="634" spans="2:13" x14ac:dyDescent="0.25">
      <c r="B634" t="s">
        <v>614</v>
      </c>
      <c r="C634" t="s">
        <v>682</v>
      </c>
      <c r="D634" t="s">
        <v>615</v>
      </c>
      <c r="E634">
        <v>10</v>
      </c>
      <c r="G634">
        <v>481</v>
      </c>
      <c r="H634">
        <v>481</v>
      </c>
      <c r="I634">
        <v>484</v>
      </c>
      <c r="J634" t="s">
        <v>532</v>
      </c>
      <c r="K634">
        <v>483.5</v>
      </c>
      <c r="L634">
        <v>0.19684192198644401</v>
      </c>
      <c r="M634">
        <v>0.198774079907791</v>
      </c>
    </row>
    <row r="635" spans="2:13" x14ac:dyDescent="0.25">
      <c r="B635" t="s">
        <v>617</v>
      </c>
      <c r="C635" t="s">
        <v>682</v>
      </c>
      <c r="D635" t="s">
        <v>619</v>
      </c>
      <c r="E635">
        <v>10</v>
      </c>
      <c r="G635">
        <v>1010</v>
      </c>
      <c r="H635">
        <v>1010</v>
      </c>
      <c r="I635">
        <v>1006</v>
      </c>
      <c r="J635" t="s">
        <v>532</v>
      </c>
      <c r="K635">
        <v>1005.5</v>
      </c>
      <c r="L635">
        <v>0.60124230218985197</v>
      </c>
      <c r="M635">
        <v>0.59782801049205103</v>
      </c>
    </row>
    <row r="636" spans="2:13" x14ac:dyDescent="0.25">
      <c r="B636" t="s">
        <v>617</v>
      </c>
      <c r="C636" t="s">
        <v>682</v>
      </c>
      <c r="D636" t="s">
        <v>618</v>
      </c>
      <c r="E636">
        <v>10</v>
      </c>
      <c r="G636">
        <v>1001</v>
      </c>
      <c r="H636">
        <v>1001</v>
      </c>
      <c r="I636">
        <v>1006</v>
      </c>
      <c r="J636" t="s">
        <v>532</v>
      </c>
      <c r="K636">
        <v>1005.5</v>
      </c>
      <c r="L636">
        <v>0.59441371879424998</v>
      </c>
      <c r="M636">
        <v>0.59782801049205103</v>
      </c>
    </row>
    <row r="637" spans="2:13" x14ac:dyDescent="0.25">
      <c r="B637" t="s">
        <v>620</v>
      </c>
      <c r="C637" t="s">
        <v>682</v>
      </c>
      <c r="D637" t="s">
        <v>621</v>
      </c>
      <c r="E637">
        <v>10</v>
      </c>
      <c r="G637">
        <v>652</v>
      </c>
      <c r="H637">
        <v>652</v>
      </c>
      <c r="I637">
        <v>666</v>
      </c>
      <c r="J637" t="s">
        <v>532</v>
      </c>
      <c r="K637">
        <v>666</v>
      </c>
      <c r="L637">
        <v>0.32840698814481301</v>
      </c>
      <c r="M637">
        <v>0.33913038897437298</v>
      </c>
    </row>
    <row r="638" spans="2:13" x14ac:dyDescent="0.25">
      <c r="B638" t="s">
        <v>620</v>
      </c>
      <c r="C638" t="s">
        <v>682</v>
      </c>
      <c r="D638" t="s">
        <v>622</v>
      </c>
      <c r="E638">
        <v>10</v>
      </c>
      <c r="G638">
        <v>680</v>
      </c>
      <c r="H638">
        <v>680</v>
      </c>
      <c r="I638">
        <v>666</v>
      </c>
      <c r="J638" t="s">
        <v>532</v>
      </c>
      <c r="K638">
        <v>666</v>
      </c>
      <c r="L638">
        <v>0.349853789803934</v>
      </c>
      <c r="M638">
        <v>0.33913038897437298</v>
      </c>
    </row>
    <row r="639" spans="2:13" x14ac:dyDescent="0.25">
      <c r="B639" t="s">
        <v>623</v>
      </c>
      <c r="C639" t="s">
        <v>682</v>
      </c>
      <c r="D639" t="s">
        <v>624</v>
      </c>
      <c r="E639">
        <v>10</v>
      </c>
      <c r="G639">
        <v>706</v>
      </c>
      <c r="H639">
        <v>706</v>
      </c>
      <c r="I639">
        <v>719</v>
      </c>
      <c r="J639" t="s">
        <v>532</v>
      </c>
      <c r="K639">
        <v>718.5</v>
      </c>
      <c r="L639">
        <v>0.36974891904352702</v>
      </c>
      <c r="M639">
        <v>0.37930542480989499</v>
      </c>
    </row>
    <row r="640" spans="2:13" x14ac:dyDescent="0.25">
      <c r="B640" t="s">
        <v>623</v>
      </c>
      <c r="C640" t="s">
        <v>682</v>
      </c>
      <c r="D640" t="s">
        <v>625</v>
      </c>
      <c r="E640">
        <v>10</v>
      </c>
      <c r="G640">
        <v>731</v>
      </c>
      <c r="H640">
        <v>731</v>
      </c>
      <c r="I640">
        <v>719</v>
      </c>
      <c r="J640" t="s">
        <v>532</v>
      </c>
      <c r="K640">
        <v>718.5</v>
      </c>
      <c r="L640">
        <v>0.388861930576262</v>
      </c>
      <c r="M640">
        <v>0.37930542480989499</v>
      </c>
    </row>
    <row r="641" spans="2:13" x14ac:dyDescent="0.25">
      <c r="B641" t="s">
        <v>626</v>
      </c>
      <c r="C641" t="s">
        <v>682</v>
      </c>
      <c r="D641" t="s">
        <v>628</v>
      </c>
      <c r="E641">
        <v>10</v>
      </c>
      <c r="G641">
        <v>1456</v>
      </c>
      <c r="H641">
        <v>1456</v>
      </c>
      <c r="I641">
        <v>1437</v>
      </c>
      <c r="J641" t="s">
        <v>532</v>
      </c>
      <c r="K641">
        <v>1436.5</v>
      </c>
      <c r="L641">
        <v>0.93826450101232595</v>
      </c>
      <c r="M641">
        <v>0.92357550157518598</v>
      </c>
    </row>
    <row r="642" spans="2:13" x14ac:dyDescent="0.25">
      <c r="B642" t="s">
        <v>626</v>
      </c>
      <c r="C642" t="s">
        <v>682</v>
      </c>
      <c r="D642" t="s">
        <v>627</v>
      </c>
      <c r="E642">
        <v>10</v>
      </c>
      <c r="G642">
        <v>1417</v>
      </c>
      <c r="H642">
        <v>1417</v>
      </c>
      <c r="I642">
        <v>1437</v>
      </c>
      <c r="J642" t="s">
        <v>532</v>
      </c>
      <c r="K642">
        <v>1436.5</v>
      </c>
      <c r="L642">
        <v>0.908886502138046</v>
      </c>
      <c r="M642">
        <v>0.92357550157518598</v>
      </c>
    </row>
    <row r="643" spans="2:13" x14ac:dyDescent="0.25">
      <c r="B643" t="s">
        <v>629</v>
      </c>
      <c r="C643" t="s">
        <v>682</v>
      </c>
      <c r="D643" t="s">
        <v>630</v>
      </c>
      <c r="E643">
        <v>10</v>
      </c>
      <c r="G643">
        <v>7162</v>
      </c>
      <c r="H643">
        <v>7162</v>
      </c>
      <c r="I643">
        <v>6784</v>
      </c>
      <c r="J643" t="s">
        <v>532</v>
      </c>
      <c r="K643">
        <v>6783.5</v>
      </c>
      <c r="L643">
        <v>5.1614392010965098</v>
      </c>
      <c r="M643">
        <v>4.8837145941860296</v>
      </c>
    </row>
    <row r="644" spans="2:13" x14ac:dyDescent="0.25">
      <c r="B644" t="s">
        <v>629</v>
      </c>
      <c r="C644" t="s">
        <v>682</v>
      </c>
      <c r="D644" t="s">
        <v>631</v>
      </c>
      <c r="E644">
        <v>10</v>
      </c>
      <c r="G644">
        <v>6405</v>
      </c>
      <c r="H644">
        <v>6405</v>
      </c>
      <c r="I644">
        <v>6784</v>
      </c>
      <c r="J644" t="s">
        <v>532</v>
      </c>
      <c r="K644">
        <v>6783.5</v>
      </c>
      <c r="L644">
        <v>4.6059899872755503</v>
      </c>
      <c r="M644">
        <v>4.8837145941860296</v>
      </c>
    </row>
    <row r="645" spans="2:13" x14ac:dyDescent="0.25">
      <c r="B645" t="s">
        <v>632</v>
      </c>
      <c r="C645" t="s">
        <v>682</v>
      </c>
      <c r="D645" t="s">
        <v>633</v>
      </c>
      <c r="E645">
        <v>10</v>
      </c>
      <c r="G645">
        <v>254</v>
      </c>
      <c r="H645">
        <v>254</v>
      </c>
      <c r="I645">
        <v>265</v>
      </c>
      <c r="J645" t="s">
        <v>556</v>
      </c>
      <c r="K645">
        <v>264.5</v>
      </c>
      <c r="L645">
        <v>1.9150665317733399E-2</v>
      </c>
      <c r="M645">
        <v>2.75433978637258E-2</v>
      </c>
    </row>
    <row r="646" spans="2:13" x14ac:dyDescent="0.25">
      <c r="B646" t="s">
        <v>632</v>
      </c>
      <c r="C646" t="s">
        <v>682</v>
      </c>
      <c r="D646" t="s">
        <v>634</v>
      </c>
      <c r="E646">
        <v>10</v>
      </c>
      <c r="G646">
        <v>275</v>
      </c>
      <c r="H646">
        <v>275</v>
      </c>
      <c r="I646">
        <v>265</v>
      </c>
      <c r="J646" t="s">
        <v>532</v>
      </c>
      <c r="K646">
        <v>264.5</v>
      </c>
      <c r="L646">
        <v>3.59361304097182E-2</v>
      </c>
      <c r="M646">
        <v>2.75433978637258E-2</v>
      </c>
    </row>
    <row r="647" spans="2:13" x14ac:dyDescent="0.25">
      <c r="B647" t="s">
        <v>635</v>
      </c>
      <c r="C647" t="s">
        <v>682</v>
      </c>
      <c r="D647" t="s">
        <v>637</v>
      </c>
      <c r="E647">
        <v>10</v>
      </c>
      <c r="G647">
        <v>747</v>
      </c>
      <c r="H647">
        <v>747</v>
      </c>
      <c r="I647">
        <v>759</v>
      </c>
      <c r="J647" t="s">
        <v>532</v>
      </c>
      <c r="K647">
        <v>759</v>
      </c>
      <c r="L647">
        <v>0.40108595503724698</v>
      </c>
      <c r="M647">
        <v>0.41024815869313203</v>
      </c>
    </row>
    <row r="648" spans="2:13" x14ac:dyDescent="0.25">
      <c r="B648" t="s">
        <v>635</v>
      </c>
      <c r="C648" t="s">
        <v>682</v>
      </c>
      <c r="D648" t="s">
        <v>636</v>
      </c>
      <c r="E648">
        <v>10</v>
      </c>
      <c r="G648">
        <v>771</v>
      </c>
      <c r="H648">
        <v>771</v>
      </c>
      <c r="I648">
        <v>759</v>
      </c>
      <c r="J648" t="s">
        <v>532</v>
      </c>
      <c r="K648">
        <v>759</v>
      </c>
      <c r="L648">
        <v>0.41941036234901702</v>
      </c>
      <c r="M648">
        <v>0.41024815869313203</v>
      </c>
    </row>
    <row r="649" spans="2:13" x14ac:dyDescent="0.25">
      <c r="B649" t="s">
        <v>638</v>
      </c>
      <c r="C649" t="s">
        <v>682</v>
      </c>
      <c r="D649" t="s">
        <v>640</v>
      </c>
      <c r="E649">
        <v>10</v>
      </c>
      <c r="G649">
        <v>242</v>
      </c>
      <c r="H649">
        <v>242</v>
      </c>
      <c r="I649">
        <v>268</v>
      </c>
      <c r="J649" t="s">
        <v>556</v>
      </c>
      <c r="K649">
        <v>267.5</v>
      </c>
      <c r="L649">
        <v>9.4513748442323804E-3</v>
      </c>
      <c r="M649">
        <v>2.98319795088316E-2</v>
      </c>
    </row>
    <row r="650" spans="2:13" x14ac:dyDescent="0.25">
      <c r="B650" t="s">
        <v>638</v>
      </c>
      <c r="C650" t="s">
        <v>682</v>
      </c>
      <c r="D650" t="s">
        <v>639</v>
      </c>
      <c r="E650">
        <v>10</v>
      </c>
      <c r="G650">
        <v>293</v>
      </c>
      <c r="H650">
        <v>293</v>
      </c>
      <c r="I650">
        <v>268</v>
      </c>
      <c r="J650" t="s">
        <v>532</v>
      </c>
      <c r="K650">
        <v>267.5</v>
      </c>
      <c r="L650">
        <v>5.0212584173430802E-2</v>
      </c>
      <c r="M650">
        <v>2.98319795088316E-2</v>
      </c>
    </row>
    <row r="651" spans="2:13" x14ac:dyDescent="0.25">
      <c r="B651" t="s">
        <v>641</v>
      </c>
      <c r="C651" t="s">
        <v>682</v>
      </c>
      <c r="D651" t="s">
        <v>642</v>
      </c>
      <c r="E651">
        <v>10</v>
      </c>
      <c r="G651">
        <v>472</v>
      </c>
      <c r="H651">
        <v>472</v>
      </c>
      <c r="I651">
        <v>457</v>
      </c>
      <c r="J651" t="s">
        <v>532</v>
      </c>
      <c r="K651">
        <v>456.5</v>
      </c>
      <c r="L651">
        <v>0.189882915457563</v>
      </c>
      <c r="M651">
        <v>0.17788096131276901</v>
      </c>
    </row>
    <row r="652" spans="2:13" x14ac:dyDescent="0.25">
      <c r="B652" t="s">
        <v>641</v>
      </c>
      <c r="C652" t="s">
        <v>682</v>
      </c>
      <c r="D652" t="s">
        <v>643</v>
      </c>
      <c r="E652">
        <v>10</v>
      </c>
      <c r="G652">
        <v>441</v>
      </c>
      <c r="H652">
        <v>441</v>
      </c>
      <c r="I652">
        <v>457</v>
      </c>
      <c r="J652" t="s">
        <v>532</v>
      </c>
      <c r="K652">
        <v>456.5</v>
      </c>
      <c r="L652">
        <v>0.16587900716797499</v>
      </c>
      <c r="M652">
        <v>0.17788096131276901</v>
      </c>
    </row>
    <row r="653" spans="2:13" x14ac:dyDescent="0.25">
      <c r="B653" t="s">
        <v>644</v>
      </c>
      <c r="C653" t="s">
        <v>682</v>
      </c>
      <c r="D653" t="s">
        <v>645</v>
      </c>
      <c r="E653">
        <v>10</v>
      </c>
      <c r="G653">
        <v>276</v>
      </c>
      <c r="H653">
        <v>276</v>
      </c>
      <c r="I653">
        <v>289</v>
      </c>
      <c r="J653" t="s">
        <v>532</v>
      </c>
      <c r="K653">
        <v>288.5</v>
      </c>
      <c r="L653">
        <v>3.6731491725441899E-2</v>
      </c>
      <c r="M653">
        <v>4.6632892863396398E-2</v>
      </c>
    </row>
    <row r="654" spans="2:13" x14ac:dyDescent="0.25">
      <c r="B654" t="s">
        <v>644</v>
      </c>
      <c r="C654" t="s">
        <v>682</v>
      </c>
      <c r="D654" t="s">
        <v>646</v>
      </c>
      <c r="E654">
        <v>10</v>
      </c>
      <c r="G654">
        <v>301</v>
      </c>
      <c r="H654">
        <v>301</v>
      </c>
      <c r="I654">
        <v>289</v>
      </c>
      <c r="J654" t="s">
        <v>532</v>
      </c>
      <c r="K654">
        <v>288.5</v>
      </c>
      <c r="L654">
        <v>5.6534294001350897E-2</v>
      </c>
      <c r="M654">
        <v>4.6632892863396398E-2</v>
      </c>
    </row>
    <row r="655" spans="2:13" x14ac:dyDescent="0.25">
      <c r="B655" t="s">
        <v>647</v>
      </c>
      <c r="C655" t="s">
        <v>682</v>
      </c>
      <c r="D655" t="s">
        <v>649</v>
      </c>
      <c r="E655">
        <v>10</v>
      </c>
      <c r="G655">
        <v>320</v>
      </c>
      <c r="H655">
        <v>320</v>
      </c>
      <c r="I655">
        <v>301</v>
      </c>
      <c r="J655" t="s">
        <v>532</v>
      </c>
      <c r="K655">
        <v>300.5</v>
      </c>
      <c r="L655">
        <v>7.15026996438793E-2</v>
      </c>
      <c r="M655">
        <v>5.6103376956050499E-2</v>
      </c>
    </row>
    <row r="656" spans="2:13" x14ac:dyDescent="0.25">
      <c r="B656" t="s">
        <v>647</v>
      </c>
      <c r="C656" t="s">
        <v>682</v>
      </c>
      <c r="D656" t="s">
        <v>648</v>
      </c>
      <c r="E656">
        <v>10</v>
      </c>
      <c r="G656">
        <v>281</v>
      </c>
      <c r="H656">
        <v>281</v>
      </c>
      <c r="I656">
        <v>301</v>
      </c>
      <c r="J656" t="s">
        <v>532</v>
      </c>
      <c r="K656">
        <v>300.5</v>
      </c>
      <c r="L656">
        <v>4.0704054268221698E-2</v>
      </c>
      <c r="M656">
        <v>5.6103376956050499E-2</v>
      </c>
    </row>
    <row r="657" spans="2:13" x14ac:dyDescent="0.25">
      <c r="B657" t="s">
        <v>650</v>
      </c>
      <c r="C657" t="s">
        <v>682</v>
      </c>
      <c r="D657" t="s">
        <v>651</v>
      </c>
      <c r="E657">
        <v>10</v>
      </c>
      <c r="G657">
        <v>719</v>
      </c>
      <c r="H657">
        <v>719</v>
      </c>
      <c r="I657">
        <v>637</v>
      </c>
      <c r="J657" t="s">
        <v>532</v>
      </c>
      <c r="K657">
        <v>636.5</v>
      </c>
      <c r="L657">
        <v>0.37968969793045898</v>
      </c>
      <c r="M657">
        <v>0.31641777063481602</v>
      </c>
    </row>
    <row r="658" spans="2:13" x14ac:dyDescent="0.25">
      <c r="B658" t="s">
        <v>650</v>
      </c>
      <c r="C658" t="s">
        <v>682</v>
      </c>
      <c r="D658" t="s">
        <v>652</v>
      </c>
      <c r="E658">
        <v>10</v>
      </c>
      <c r="G658">
        <v>554</v>
      </c>
      <c r="H658">
        <v>554</v>
      </c>
      <c r="I658">
        <v>637</v>
      </c>
      <c r="J658" t="s">
        <v>532</v>
      </c>
      <c r="K658">
        <v>636.5</v>
      </c>
      <c r="L658">
        <v>0.253145843339173</v>
      </c>
      <c r="M658">
        <v>0.31641777063481602</v>
      </c>
    </row>
    <row r="659" spans="2:13" x14ac:dyDescent="0.25">
      <c r="B659" t="s">
        <v>653</v>
      </c>
      <c r="C659" t="s">
        <v>682</v>
      </c>
      <c r="D659" t="s">
        <v>654</v>
      </c>
      <c r="E659">
        <v>10</v>
      </c>
      <c r="G659">
        <v>358</v>
      </c>
      <c r="H659">
        <v>358</v>
      </c>
      <c r="I659">
        <v>347</v>
      </c>
      <c r="J659" t="s">
        <v>532</v>
      </c>
      <c r="K659">
        <v>346.5</v>
      </c>
      <c r="L659">
        <v>0.101289622176525</v>
      </c>
      <c r="M659">
        <v>9.2285702918508003E-2</v>
      </c>
    </row>
    <row r="660" spans="2:13" x14ac:dyDescent="0.25">
      <c r="B660" t="s">
        <v>653</v>
      </c>
      <c r="C660" t="s">
        <v>682</v>
      </c>
      <c r="D660" t="s">
        <v>655</v>
      </c>
      <c r="E660">
        <v>10</v>
      </c>
      <c r="G660">
        <v>335</v>
      </c>
      <c r="H660">
        <v>335</v>
      </c>
      <c r="I660">
        <v>347</v>
      </c>
      <c r="J660" t="s">
        <v>532</v>
      </c>
      <c r="K660">
        <v>346.5</v>
      </c>
      <c r="L660">
        <v>8.3281783660490605E-2</v>
      </c>
      <c r="M660">
        <v>9.2285702918508003E-2</v>
      </c>
    </row>
    <row r="661" spans="2:13" x14ac:dyDescent="0.25">
      <c r="B661" t="s">
        <v>656</v>
      </c>
      <c r="C661" t="s">
        <v>682</v>
      </c>
      <c r="D661" t="s">
        <v>658</v>
      </c>
      <c r="E661">
        <v>10</v>
      </c>
      <c r="G661">
        <v>265</v>
      </c>
      <c r="H661">
        <v>265</v>
      </c>
      <c r="I661">
        <v>264</v>
      </c>
      <c r="J661" t="s">
        <v>556</v>
      </c>
      <c r="K661">
        <v>263.5</v>
      </c>
      <c r="L661">
        <v>2.7964861166945701E-2</v>
      </c>
      <c r="M661">
        <v>2.6765629389869001E-2</v>
      </c>
    </row>
    <row r="662" spans="2:13" x14ac:dyDescent="0.25">
      <c r="B662" t="s">
        <v>656</v>
      </c>
      <c r="C662" t="s">
        <v>682</v>
      </c>
      <c r="D662" t="s">
        <v>657</v>
      </c>
      <c r="E662">
        <v>10</v>
      </c>
      <c r="G662">
        <v>262</v>
      </c>
      <c r="H662">
        <v>262</v>
      </c>
      <c r="I662">
        <v>264</v>
      </c>
      <c r="J662" t="s">
        <v>556</v>
      </c>
      <c r="K662">
        <v>263.5</v>
      </c>
      <c r="L662">
        <v>2.5566397612792301E-2</v>
      </c>
      <c r="M662">
        <v>2.6765629389869001E-2</v>
      </c>
    </row>
    <row r="663" spans="2:13" x14ac:dyDescent="0.25">
      <c r="B663" t="s">
        <v>659</v>
      </c>
      <c r="C663" t="s">
        <v>682</v>
      </c>
      <c r="D663" t="s">
        <v>660</v>
      </c>
      <c r="E663">
        <v>10</v>
      </c>
      <c r="G663">
        <v>281</v>
      </c>
      <c r="H663">
        <v>281</v>
      </c>
      <c r="I663">
        <v>278</v>
      </c>
      <c r="J663" t="s">
        <v>532</v>
      </c>
      <c r="K663">
        <v>277.5</v>
      </c>
      <c r="L663">
        <v>4.0704054268221698E-2</v>
      </c>
      <c r="M663">
        <v>3.7922262754583498E-2</v>
      </c>
    </row>
    <row r="664" spans="2:13" x14ac:dyDescent="0.25">
      <c r="B664" t="s">
        <v>659</v>
      </c>
      <c r="C664" t="s">
        <v>682</v>
      </c>
      <c r="D664" t="s">
        <v>661</v>
      </c>
      <c r="E664">
        <v>10</v>
      </c>
      <c r="G664">
        <v>274</v>
      </c>
      <c r="H664">
        <v>274</v>
      </c>
      <c r="I664">
        <v>278</v>
      </c>
      <c r="J664" t="s">
        <v>532</v>
      </c>
      <c r="K664">
        <v>277.5</v>
      </c>
      <c r="L664">
        <v>3.5140471240945201E-2</v>
      </c>
      <c r="M664">
        <v>3.7922262754583498E-2</v>
      </c>
    </row>
    <row r="665" spans="2:13" x14ac:dyDescent="0.25">
      <c r="B665" t="s">
        <v>662</v>
      </c>
      <c r="C665" t="s">
        <v>682</v>
      </c>
      <c r="D665" t="s">
        <v>663</v>
      </c>
      <c r="E665">
        <v>10</v>
      </c>
      <c r="G665">
        <v>1147</v>
      </c>
      <c r="H665">
        <v>1147</v>
      </c>
      <c r="I665">
        <v>1194</v>
      </c>
      <c r="J665" t="s">
        <v>532</v>
      </c>
      <c r="K665">
        <v>1193.5</v>
      </c>
      <c r="L665">
        <v>0.70503744588254702</v>
      </c>
      <c r="M665">
        <v>0.74019369261983303</v>
      </c>
    </row>
    <row r="666" spans="2:13" x14ac:dyDescent="0.25">
      <c r="B666" t="s">
        <v>662</v>
      </c>
      <c r="C666" t="s">
        <v>682</v>
      </c>
      <c r="D666" t="s">
        <v>664</v>
      </c>
      <c r="E666">
        <v>10</v>
      </c>
      <c r="G666">
        <v>1240</v>
      </c>
      <c r="H666">
        <v>1240</v>
      </c>
      <c r="I666">
        <v>1194</v>
      </c>
      <c r="J666" t="s">
        <v>532</v>
      </c>
      <c r="K666">
        <v>1193.5</v>
      </c>
      <c r="L666">
        <v>0.77534993935712004</v>
      </c>
      <c r="M666">
        <v>0.74019369261983303</v>
      </c>
    </row>
    <row r="667" spans="2:13" x14ac:dyDescent="0.25">
      <c r="B667" t="s">
        <v>665</v>
      </c>
      <c r="C667" t="s">
        <v>682</v>
      </c>
      <c r="D667" t="s">
        <v>667</v>
      </c>
      <c r="E667">
        <v>10</v>
      </c>
      <c r="G667">
        <v>781</v>
      </c>
      <c r="H667">
        <v>781</v>
      </c>
      <c r="I667">
        <v>780</v>
      </c>
      <c r="J667" t="s">
        <v>532</v>
      </c>
      <c r="K667">
        <v>779.5</v>
      </c>
      <c r="L667">
        <v>0.42704154525592303</v>
      </c>
      <c r="M667">
        <v>0.42589698852686902</v>
      </c>
    </row>
    <row r="668" spans="2:13" x14ac:dyDescent="0.25">
      <c r="B668" t="s">
        <v>665</v>
      </c>
      <c r="C668" t="s">
        <v>682</v>
      </c>
      <c r="D668" t="s">
        <v>666</v>
      </c>
      <c r="E668">
        <v>10</v>
      </c>
      <c r="G668">
        <v>778</v>
      </c>
      <c r="H668">
        <v>778</v>
      </c>
      <c r="I668">
        <v>780</v>
      </c>
      <c r="J668" t="s">
        <v>532</v>
      </c>
      <c r="K668">
        <v>779.5</v>
      </c>
      <c r="L668">
        <v>0.42475243179781602</v>
      </c>
      <c r="M668">
        <v>0.42589698852686902</v>
      </c>
    </row>
    <row r="669" spans="2:13" x14ac:dyDescent="0.25">
      <c r="B669" t="s">
        <v>668</v>
      </c>
      <c r="C669" t="s">
        <v>682</v>
      </c>
      <c r="D669" t="s">
        <v>670</v>
      </c>
      <c r="E669">
        <v>10</v>
      </c>
      <c r="G669">
        <v>455</v>
      </c>
      <c r="H669">
        <v>455</v>
      </c>
      <c r="I669">
        <v>465</v>
      </c>
      <c r="J669" t="s">
        <v>532</v>
      </c>
      <c r="K669">
        <v>464.5</v>
      </c>
      <c r="L669">
        <v>0.176726259438894</v>
      </c>
      <c r="M669">
        <v>0.18407799327246099</v>
      </c>
    </row>
    <row r="670" spans="2:13" x14ac:dyDescent="0.25">
      <c r="B670" t="s">
        <v>668</v>
      </c>
      <c r="C670" t="s">
        <v>682</v>
      </c>
      <c r="D670" t="s">
        <v>669</v>
      </c>
      <c r="E670">
        <v>10</v>
      </c>
      <c r="G670">
        <v>474</v>
      </c>
      <c r="H670">
        <v>474</v>
      </c>
      <c r="I670">
        <v>465</v>
      </c>
      <c r="J670" t="s">
        <v>532</v>
      </c>
      <c r="K670">
        <v>464.5</v>
      </c>
      <c r="L670">
        <v>0.19142972710602699</v>
      </c>
      <c r="M670">
        <v>0.18407799327246099</v>
      </c>
    </row>
    <row r="671" spans="2:13" x14ac:dyDescent="0.25">
      <c r="B671" t="s">
        <v>671</v>
      </c>
      <c r="C671" t="s">
        <v>682</v>
      </c>
      <c r="D671" t="s">
        <v>673</v>
      </c>
      <c r="E671">
        <v>10</v>
      </c>
      <c r="G671">
        <v>279</v>
      </c>
      <c r="H671">
        <v>279</v>
      </c>
      <c r="I671">
        <v>276</v>
      </c>
      <c r="J671" t="s">
        <v>532</v>
      </c>
      <c r="K671">
        <v>276</v>
      </c>
      <c r="L671">
        <v>3.91158538444005E-2</v>
      </c>
      <c r="M671">
        <v>3.6730180539454899E-2</v>
      </c>
    </row>
    <row r="672" spans="2:13" x14ac:dyDescent="0.25">
      <c r="B672" t="s">
        <v>671</v>
      </c>
      <c r="C672" t="s">
        <v>682</v>
      </c>
      <c r="D672" t="s">
        <v>672</v>
      </c>
      <c r="E672">
        <v>10</v>
      </c>
      <c r="G672">
        <v>273</v>
      </c>
      <c r="H672">
        <v>273</v>
      </c>
      <c r="I672">
        <v>276</v>
      </c>
      <c r="J672" t="s">
        <v>532</v>
      </c>
      <c r="K672">
        <v>276</v>
      </c>
      <c r="L672">
        <v>3.4344507234509297E-2</v>
      </c>
      <c r="M672">
        <v>3.6730180539454899E-2</v>
      </c>
    </row>
    <row r="673" spans="2:13" x14ac:dyDescent="0.25">
      <c r="B673" t="s">
        <v>674</v>
      </c>
      <c r="C673" t="s">
        <v>682</v>
      </c>
      <c r="D673" t="s">
        <v>676</v>
      </c>
      <c r="E673">
        <v>10</v>
      </c>
      <c r="G673">
        <v>330</v>
      </c>
      <c r="H673">
        <v>330</v>
      </c>
      <c r="I673">
        <v>323</v>
      </c>
      <c r="J673" t="s">
        <v>532</v>
      </c>
      <c r="K673">
        <v>322.5</v>
      </c>
      <c r="L673">
        <v>7.93587614607624E-2</v>
      </c>
      <c r="M673">
        <v>7.3464023548341806E-2</v>
      </c>
    </row>
    <row r="674" spans="2:13" x14ac:dyDescent="0.25">
      <c r="B674" t="s">
        <v>674</v>
      </c>
      <c r="C674" t="s">
        <v>682</v>
      </c>
      <c r="D674" t="s">
        <v>675</v>
      </c>
      <c r="E674">
        <v>10</v>
      </c>
      <c r="G674">
        <v>315</v>
      </c>
      <c r="H674">
        <v>315</v>
      </c>
      <c r="I674">
        <v>323</v>
      </c>
      <c r="J674" t="s">
        <v>532</v>
      </c>
      <c r="K674">
        <v>322.5</v>
      </c>
      <c r="L674">
        <v>6.7569285635921197E-2</v>
      </c>
      <c r="M674">
        <v>7.3464023548341806E-2</v>
      </c>
    </row>
  </sheetData>
  <hyperlinks>
    <hyperlink ref="A1" location="'Table of Contents'!A1" display="Table of Contents" xr:uid="{12ADB258-C834-40FF-971C-EA40C2CE3C40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CE0B-7F49-4F3D-A13F-31EF26ADD5B6}">
  <dimension ref="A1:J53"/>
  <sheetViews>
    <sheetView workbookViewId="0"/>
  </sheetViews>
  <sheetFormatPr defaultRowHeight="15" x14ac:dyDescent="0.25"/>
  <cols>
    <col min="2" max="2" width="28.7109375" bestFit="1" customWidth="1"/>
    <col min="3" max="3" width="16.28515625" bestFit="1" customWidth="1"/>
    <col min="4" max="10" width="12" bestFit="1" customWidth="1"/>
  </cols>
  <sheetData>
    <row r="1" spans="1:10" x14ac:dyDescent="0.25">
      <c r="A1" s="1" t="s">
        <v>9</v>
      </c>
    </row>
    <row r="3" spans="1:10" x14ac:dyDescent="0.25">
      <c r="B3" s="584" t="s">
        <v>683</v>
      </c>
      <c r="C3" s="584" t="s">
        <v>684</v>
      </c>
    </row>
    <row r="4" spans="1:10" x14ac:dyDescent="0.25">
      <c r="B4" s="584" t="s">
        <v>685</v>
      </c>
      <c r="C4" t="s">
        <v>528</v>
      </c>
      <c r="D4" t="s">
        <v>680</v>
      </c>
      <c r="E4" t="s">
        <v>681</v>
      </c>
      <c r="F4" t="s">
        <v>677</v>
      </c>
      <c r="G4" t="s">
        <v>678</v>
      </c>
      <c r="H4" t="s">
        <v>679</v>
      </c>
      <c r="I4" t="s">
        <v>682</v>
      </c>
      <c r="J4" t="s">
        <v>686</v>
      </c>
    </row>
    <row r="5" spans="1:10" x14ac:dyDescent="0.25">
      <c r="B5" s="583" t="s">
        <v>527</v>
      </c>
      <c r="C5">
        <v>1019.4383094366999</v>
      </c>
      <c r="D5">
        <v>3914.9403738203951</v>
      </c>
      <c r="E5">
        <v>27589.118309654848</v>
      </c>
      <c r="F5">
        <v>1736.6114536298851</v>
      </c>
      <c r="G5">
        <v>5143.9342701675951</v>
      </c>
      <c r="H5">
        <v>2268.6068610850498</v>
      </c>
      <c r="I5">
        <v>623.70612403602502</v>
      </c>
      <c r="J5">
        <v>6042.3365288329296</v>
      </c>
    </row>
    <row r="6" spans="1:10" x14ac:dyDescent="0.25">
      <c r="B6" s="583" t="s">
        <v>533</v>
      </c>
      <c r="C6">
        <v>264.949441174426</v>
      </c>
      <c r="D6">
        <v>983.77832214147156</v>
      </c>
      <c r="E6">
        <v>7410.2562920781056</v>
      </c>
      <c r="F6">
        <v>435.27803368152797</v>
      </c>
      <c r="G6">
        <v>1233.0733018997298</v>
      </c>
      <c r="H6">
        <v>636.3197104101165</v>
      </c>
      <c r="I6">
        <v>154.19329288007401</v>
      </c>
      <c r="J6">
        <v>1588.2640563236359</v>
      </c>
    </row>
    <row r="7" spans="1:10" x14ac:dyDescent="0.25">
      <c r="B7" s="583" t="s">
        <v>536</v>
      </c>
      <c r="C7">
        <v>64.893972432463499</v>
      </c>
      <c r="D7">
        <v>229.950453878492</v>
      </c>
      <c r="E7">
        <v>1732.5173263112702</v>
      </c>
      <c r="F7">
        <v>112.412779148943</v>
      </c>
      <c r="G7">
        <v>295.922452174417</v>
      </c>
      <c r="H7">
        <v>147.63981682685051</v>
      </c>
      <c r="I7">
        <v>38.706891313730353</v>
      </c>
      <c r="J7">
        <v>374.57767029802375</v>
      </c>
    </row>
    <row r="8" spans="1:10" x14ac:dyDescent="0.25">
      <c r="B8" s="583" t="s">
        <v>539</v>
      </c>
      <c r="C8">
        <v>15.689778180319749</v>
      </c>
      <c r="D8">
        <v>61.729380424458952</v>
      </c>
      <c r="E8">
        <v>407.94864689809447</v>
      </c>
      <c r="F8">
        <v>26.384642520995499</v>
      </c>
      <c r="G8">
        <v>74.743539845498546</v>
      </c>
      <c r="H8">
        <v>33.682484254445853</v>
      </c>
      <c r="I8">
        <v>9.9005154183676787</v>
      </c>
      <c r="J8">
        <v>90.011283934597259</v>
      </c>
    </row>
    <row r="9" spans="1:10" x14ac:dyDescent="0.25">
      <c r="B9" s="583" t="s">
        <v>542</v>
      </c>
      <c r="C9">
        <v>3.9329343051259498</v>
      </c>
      <c r="D9">
        <v>14.5968894095859</v>
      </c>
      <c r="E9">
        <v>108.58114778920751</v>
      </c>
      <c r="F9">
        <v>6.8052639519099305</v>
      </c>
      <c r="G9">
        <v>19.307636478258001</v>
      </c>
      <c r="H9">
        <v>8.5843117981561647</v>
      </c>
      <c r="I9">
        <v>2.3961271284058148</v>
      </c>
      <c r="J9">
        <v>23.457758694378466</v>
      </c>
    </row>
    <row r="10" spans="1:10" x14ac:dyDescent="0.25">
      <c r="B10" s="583" t="s">
        <v>545</v>
      </c>
      <c r="C10">
        <v>1.0194976377238725</v>
      </c>
      <c r="D10">
        <v>3.9279219915486348</v>
      </c>
      <c r="E10">
        <v>32.173372700480996</v>
      </c>
      <c r="F10">
        <v>1.6460458940866201</v>
      </c>
      <c r="G10">
        <v>4.970724999902445</v>
      </c>
      <c r="H10">
        <v>2.317447698159675</v>
      </c>
      <c r="I10">
        <v>0.62588507447337249</v>
      </c>
      <c r="J10">
        <v>6.6686994280536593</v>
      </c>
    </row>
    <row r="11" spans="1:10" x14ac:dyDescent="0.25">
      <c r="B11" s="583" t="s">
        <v>548</v>
      </c>
      <c r="C11">
        <v>0.25668057882295447</v>
      </c>
      <c r="D11">
        <v>0.99825534082224343</v>
      </c>
      <c r="E11">
        <v>7.9068678785499706</v>
      </c>
      <c r="F11">
        <v>0.453376098185443</v>
      </c>
      <c r="G11">
        <v>1.3088280065399749</v>
      </c>
      <c r="H11">
        <v>0.64807840974617448</v>
      </c>
      <c r="I11">
        <v>0.143363639558965</v>
      </c>
      <c r="J11">
        <v>1.6736357074608177</v>
      </c>
    </row>
    <row r="12" spans="1:10" x14ac:dyDescent="0.25">
      <c r="B12" s="583" t="s">
        <v>551</v>
      </c>
      <c r="C12">
        <v>1.0526541654586601E-3</v>
      </c>
      <c r="D12">
        <v>4.0570968083609903E-2</v>
      </c>
      <c r="E12" t="e">
        <v>#DIV/0!</v>
      </c>
      <c r="F12">
        <v>2.8723602535247398E-3</v>
      </c>
      <c r="G12" t="e">
        <v>#DIV/0!</v>
      </c>
      <c r="H12" t="e">
        <v>#DIV/0!</v>
      </c>
      <c r="I12">
        <v>8.6370731473310192E-3</v>
      </c>
      <c r="J12">
        <v>1.328326391248108E-2</v>
      </c>
    </row>
    <row r="13" spans="1:10" x14ac:dyDescent="0.25">
      <c r="B13" s="583" t="s">
        <v>557</v>
      </c>
      <c r="C13">
        <v>1.7945601105720251E-2</v>
      </c>
      <c r="D13" t="e">
        <v>#DIV/0!</v>
      </c>
      <c r="E13">
        <v>0.62911691962292005</v>
      </c>
      <c r="F13">
        <v>1.7452119507223501E-2</v>
      </c>
      <c r="G13">
        <v>32.942598430799599</v>
      </c>
      <c r="H13">
        <v>101.1132550491071</v>
      </c>
      <c r="I13">
        <v>8.3629832215762798E-2</v>
      </c>
      <c r="J13">
        <v>26.896142686558655</v>
      </c>
    </row>
    <row r="14" spans="1:10" x14ac:dyDescent="0.25">
      <c r="B14" s="583" t="s">
        <v>560</v>
      </c>
      <c r="C14">
        <v>6.8259544447678653E-3</v>
      </c>
      <c r="D14" t="e">
        <v>#DIV/0!</v>
      </c>
      <c r="E14">
        <v>1.00965913439791</v>
      </c>
      <c r="F14">
        <v>3.4641932108832346E-2</v>
      </c>
      <c r="G14">
        <v>1.7197473625262949</v>
      </c>
      <c r="H14">
        <v>6.4272599931804102</v>
      </c>
      <c r="I14">
        <v>5.8111985509959593E-2</v>
      </c>
      <c r="J14">
        <v>1.5911666899944037</v>
      </c>
    </row>
    <row r="15" spans="1:10" x14ac:dyDescent="0.25">
      <c r="B15" s="583" t="s">
        <v>563</v>
      </c>
      <c r="C15">
        <v>1.4072661372012595E-2</v>
      </c>
      <c r="D15" t="e">
        <v>#DIV/0!</v>
      </c>
      <c r="E15">
        <v>1.3603820021509601</v>
      </c>
      <c r="F15">
        <v>1.0167972352047356E-2</v>
      </c>
      <c r="G15">
        <v>93.311969342450595</v>
      </c>
      <c r="H15">
        <v>43.3831553290158</v>
      </c>
      <c r="I15">
        <v>0.42398861287637002</v>
      </c>
      <c r="J15">
        <v>25.058826348934964</v>
      </c>
    </row>
    <row r="16" spans="1:10" x14ac:dyDescent="0.25">
      <c r="B16" s="583" t="s">
        <v>566</v>
      </c>
      <c r="C16">
        <v>1.097673397431919E-2</v>
      </c>
      <c r="D16" t="e">
        <v>#DIV/0!</v>
      </c>
      <c r="E16" t="e">
        <v>#DIV/0!</v>
      </c>
      <c r="F16">
        <v>4.2000324561181947E-3</v>
      </c>
      <c r="G16">
        <v>3.1629031419005749</v>
      </c>
      <c r="H16">
        <v>3.7568199268076201</v>
      </c>
      <c r="I16">
        <v>1.3479413235870263E-2</v>
      </c>
      <c r="J16">
        <v>1.3896758496749007</v>
      </c>
    </row>
    <row r="17" spans="2:10" x14ac:dyDescent="0.25">
      <c r="B17" s="583" t="s">
        <v>569</v>
      </c>
      <c r="C17">
        <v>3.4059246644362204E-2</v>
      </c>
      <c r="D17">
        <v>0.25507990573968403</v>
      </c>
      <c r="E17">
        <v>6.787474115268215</v>
      </c>
      <c r="F17">
        <v>0.13950298410583981</v>
      </c>
      <c r="G17">
        <v>0.81108311232560248</v>
      </c>
      <c r="H17">
        <v>0.21114363138098802</v>
      </c>
      <c r="I17">
        <v>2.8740485074257749E-2</v>
      </c>
      <c r="J17">
        <v>1.1810119257912783</v>
      </c>
    </row>
    <row r="18" spans="2:10" x14ac:dyDescent="0.25">
      <c r="B18" s="583" t="s">
        <v>572</v>
      </c>
      <c r="C18">
        <v>6.8124071449362196E-3</v>
      </c>
      <c r="D18">
        <v>2.6983432486636202E-2</v>
      </c>
      <c r="E18">
        <v>3.1193878588598301</v>
      </c>
      <c r="F18" t="e">
        <v>#DIV/0!</v>
      </c>
      <c r="G18">
        <v>83.646173680998544</v>
      </c>
      <c r="H18">
        <v>175.91080319996598</v>
      </c>
      <c r="I18">
        <v>0.31345682333873048</v>
      </c>
      <c r="J18">
        <v>47.820022852100237</v>
      </c>
    </row>
    <row r="19" spans="2:10" x14ac:dyDescent="0.25">
      <c r="B19" s="583" t="s">
        <v>575</v>
      </c>
      <c r="C19">
        <v>1.279053074135315E-2</v>
      </c>
      <c r="D19">
        <v>2.01267282426143E-2</v>
      </c>
      <c r="E19">
        <v>3.6001138999341902</v>
      </c>
      <c r="F19">
        <v>1.2811297170088274E-2</v>
      </c>
      <c r="G19">
        <v>45.626446846646203</v>
      </c>
      <c r="H19">
        <v>214.007205925243</v>
      </c>
      <c r="I19">
        <v>0.43467016766036948</v>
      </c>
      <c r="J19">
        <v>40.569861851002543</v>
      </c>
    </row>
    <row r="20" spans="2:10" x14ac:dyDescent="0.25">
      <c r="B20" s="583" t="s">
        <v>578</v>
      </c>
      <c r="C20">
        <v>9.3934370345760687E-3</v>
      </c>
      <c r="D20">
        <v>0.140021135830491</v>
      </c>
      <c r="E20">
        <v>2.07214832309303</v>
      </c>
      <c r="F20" t="e">
        <v>#DIV/0!</v>
      </c>
      <c r="G20">
        <v>71.819159918906507</v>
      </c>
      <c r="H20">
        <v>13.7463192644672</v>
      </c>
      <c r="I20">
        <v>0.18214020426095651</v>
      </c>
      <c r="J20">
        <v>14.661530380598792</v>
      </c>
    </row>
    <row r="21" spans="2:10" x14ac:dyDescent="0.25">
      <c r="B21" s="583" t="s">
        <v>581</v>
      </c>
      <c r="C21">
        <v>9.4266006395792405E-3</v>
      </c>
      <c r="D21">
        <v>6.7421447704404294E-2</v>
      </c>
      <c r="E21" t="e">
        <v>#DIV/0!</v>
      </c>
      <c r="F21">
        <v>2.10504212969641E-4</v>
      </c>
      <c r="G21">
        <v>19.182667691897748</v>
      </c>
      <c r="H21">
        <v>10.716953585173851</v>
      </c>
      <c r="I21">
        <v>5.494888734013105E-2</v>
      </c>
      <c r="J21">
        <v>5.9995625482019994</v>
      </c>
    </row>
    <row r="22" spans="2:10" x14ac:dyDescent="0.25">
      <c r="B22" s="583" t="s">
        <v>584</v>
      </c>
      <c r="C22">
        <v>5.775897278636105E-3</v>
      </c>
      <c r="D22">
        <v>9.7151658185042795E-3</v>
      </c>
      <c r="E22">
        <v>2.5134511089260001</v>
      </c>
      <c r="F22">
        <v>1.6128384004504101E-2</v>
      </c>
      <c r="G22">
        <v>73.937337639655595</v>
      </c>
      <c r="H22">
        <v>298.72047744414499</v>
      </c>
      <c r="I22">
        <v>0.12781320141258901</v>
      </c>
      <c r="J22">
        <v>62.552962844388219</v>
      </c>
    </row>
    <row r="23" spans="2:10" x14ac:dyDescent="0.25">
      <c r="B23" s="583" t="s">
        <v>587</v>
      </c>
      <c r="C23">
        <v>1.1236533092293475E-2</v>
      </c>
      <c r="D23" t="e">
        <v>#DIV/0!</v>
      </c>
      <c r="E23">
        <v>0.82424586736791405</v>
      </c>
      <c r="F23">
        <v>1.0830911635285601E-2</v>
      </c>
      <c r="G23">
        <v>26.3311302026435</v>
      </c>
      <c r="H23">
        <v>88.05259923715559</v>
      </c>
      <c r="I23">
        <v>6.4025886039728253E-2</v>
      </c>
      <c r="J23">
        <v>22.975306049686544</v>
      </c>
    </row>
    <row r="24" spans="2:10" x14ac:dyDescent="0.25">
      <c r="B24" s="583" t="s">
        <v>590</v>
      </c>
      <c r="C24">
        <v>2.3073381353631697E-2</v>
      </c>
      <c r="D24">
        <v>0.14477786680454799</v>
      </c>
      <c r="E24">
        <v>4.0048809885391652</v>
      </c>
      <c r="F24">
        <v>0.1006386857234869</v>
      </c>
      <c r="G24">
        <v>153.57707624476299</v>
      </c>
      <c r="H24">
        <v>675.66605861951052</v>
      </c>
      <c r="I24">
        <v>0.47392469768244549</v>
      </c>
      <c r="J24">
        <v>119.14149006919669</v>
      </c>
    </row>
    <row r="25" spans="2:10" x14ac:dyDescent="0.25">
      <c r="B25" s="583" t="s">
        <v>593</v>
      </c>
      <c r="C25">
        <v>9.1630734125475455E-3</v>
      </c>
      <c r="D25" t="e">
        <v>#DIV/0!</v>
      </c>
      <c r="E25">
        <v>0.93694888796031406</v>
      </c>
      <c r="F25">
        <v>2.0758730824711951E-2</v>
      </c>
      <c r="G25">
        <v>45.378144562101198</v>
      </c>
      <c r="H25">
        <v>268.08295208943798</v>
      </c>
      <c r="I25">
        <v>0.1941178998943775</v>
      </c>
      <c r="J25">
        <v>52.437014207271858</v>
      </c>
    </row>
    <row r="26" spans="2:10" x14ac:dyDescent="0.25">
      <c r="B26" s="583" t="s">
        <v>596</v>
      </c>
      <c r="C26">
        <v>1.5368409648587298E-2</v>
      </c>
      <c r="D26" t="e">
        <v>#DIV/0!</v>
      </c>
      <c r="E26">
        <v>1.8059417871596941</v>
      </c>
      <c r="F26">
        <v>3.8610062618136098E-2</v>
      </c>
      <c r="G26">
        <v>78.18830466175126</v>
      </c>
      <c r="H26">
        <v>177.42234115760101</v>
      </c>
      <c r="I26">
        <v>7.0321563064299542E-2</v>
      </c>
      <c r="J26">
        <v>46.822105929187984</v>
      </c>
    </row>
    <row r="27" spans="2:10" x14ac:dyDescent="0.25">
      <c r="B27" s="583" t="s">
        <v>599</v>
      </c>
      <c r="C27">
        <v>2.5636638769835001E-2</v>
      </c>
      <c r="D27">
        <v>2.8656838412654002E-2</v>
      </c>
      <c r="E27">
        <v>3.3329094781901398</v>
      </c>
      <c r="F27">
        <v>9.1407240167145201E-2</v>
      </c>
      <c r="G27">
        <v>413.42291390634546</v>
      </c>
      <c r="H27">
        <v>619.02157423532253</v>
      </c>
      <c r="I27">
        <v>0.85006025303039701</v>
      </c>
      <c r="J27">
        <v>159.2471852078682</v>
      </c>
    </row>
    <row r="28" spans="2:10" x14ac:dyDescent="0.25">
      <c r="B28" s="583" t="s">
        <v>602</v>
      </c>
      <c r="C28">
        <v>9.6508859996279686E-3</v>
      </c>
      <c r="D28">
        <v>1.6676639641625801E-2</v>
      </c>
      <c r="E28">
        <v>3.0506604196999199</v>
      </c>
      <c r="F28" t="e">
        <v>#DIV/0!</v>
      </c>
      <c r="G28">
        <v>4.4854272801904695</v>
      </c>
      <c r="H28">
        <v>16.218878275513902</v>
      </c>
      <c r="I28">
        <v>7.3073243980093794E-2</v>
      </c>
      <c r="J28">
        <v>4.4641396430709737</v>
      </c>
    </row>
    <row r="29" spans="2:10" x14ac:dyDescent="0.25">
      <c r="B29" s="583" t="s">
        <v>605</v>
      </c>
      <c r="C29">
        <v>4.7424281778234599E-3</v>
      </c>
      <c r="D29">
        <v>0.110494233706825</v>
      </c>
      <c r="E29">
        <v>3.1201531755080802</v>
      </c>
      <c r="F29" t="e">
        <v>#DIV/0!</v>
      </c>
      <c r="G29">
        <v>140.85244222652199</v>
      </c>
      <c r="H29">
        <v>157.197263618992</v>
      </c>
      <c r="I29">
        <v>0.36974462343445402</v>
      </c>
      <c r="J29">
        <v>60.319444395079771</v>
      </c>
    </row>
    <row r="30" spans="2:10" x14ac:dyDescent="0.25">
      <c r="B30" s="583" t="s">
        <v>608</v>
      </c>
      <c r="C30">
        <v>5.16944855836713E-4</v>
      </c>
      <c r="D30">
        <v>4.22382852413219E-2</v>
      </c>
      <c r="E30">
        <v>1.00965913439791</v>
      </c>
      <c r="F30">
        <v>1.5428819152680201E-3</v>
      </c>
      <c r="G30">
        <v>14.749131337125451</v>
      </c>
      <c r="H30">
        <v>91.184389015244193</v>
      </c>
      <c r="I30">
        <v>3.4742180743685402E-2</v>
      </c>
      <c r="J30">
        <v>19.366610963443485</v>
      </c>
    </row>
    <row r="31" spans="2:10" x14ac:dyDescent="0.25">
      <c r="B31" s="583" t="s">
        <v>611</v>
      </c>
      <c r="C31">
        <v>6.0391856746423202E-3</v>
      </c>
      <c r="D31">
        <v>6.0740117373008697E-2</v>
      </c>
      <c r="E31">
        <v>2.5361896483395103</v>
      </c>
      <c r="F31">
        <v>5.5277046587116499E-3</v>
      </c>
      <c r="G31">
        <v>58.070049121331799</v>
      </c>
      <c r="H31">
        <v>248.4960752693645</v>
      </c>
      <c r="I31">
        <v>0.1569510304660465</v>
      </c>
      <c r="J31">
        <v>51.549739694365392</v>
      </c>
    </row>
    <row r="32" spans="2:10" x14ac:dyDescent="0.25">
      <c r="B32" s="583" t="s">
        <v>614</v>
      </c>
      <c r="C32">
        <v>1.58468429064356E-3</v>
      </c>
      <c r="D32">
        <v>0.16291728166609001</v>
      </c>
      <c r="E32" t="e">
        <v>#DIV/0!</v>
      </c>
      <c r="F32" t="e">
        <v>#DIV/0!</v>
      </c>
      <c r="G32">
        <v>48.467490912534799</v>
      </c>
      <c r="H32">
        <v>46.776928851624604</v>
      </c>
      <c r="I32">
        <v>0.1987740799077905</v>
      </c>
      <c r="J32">
        <v>23.88136120676139</v>
      </c>
    </row>
    <row r="33" spans="2:10" x14ac:dyDescent="0.25">
      <c r="B33" s="583" t="s">
        <v>617</v>
      </c>
      <c r="C33">
        <v>2.20329408506224E-2</v>
      </c>
      <c r="D33" t="e">
        <v>#DIV/0!</v>
      </c>
      <c r="E33">
        <v>0.18176725866537799</v>
      </c>
      <c r="F33">
        <v>4.91551968217043E-2</v>
      </c>
      <c r="G33">
        <v>17.694570730063852</v>
      </c>
      <c r="H33">
        <v>32.555132862132396</v>
      </c>
      <c r="I33">
        <v>0.59782801049205103</v>
      </c>
      <c r="J33">
        <v>9.2744733399442367</v>
      </c>
    </row>
    <row r="34" spans="2:10" x14ac:dyDescent="0.25">
      <c r="B34" s="583" t="s">
        <v>620</v>
      </c>
      <c r="C34">
        <v>2.0514513056676502E-2</v>
      </c>
      <c r="D34">
        <v>2.6065141624502402E-3</v>
      </c>
      <c r="E34" t="e">
        <v>#DIV/0!</v>
      </c>
      <c r="F34">
        <v>8.8356329598860608E-3</v>
      </c>
      <c r="G34">
        <v>22.97522611011415</v>
      </c>
      <c r="H34">
        <v>28.4703445467661</v>
      </c>
      <c r="I34">
        <v>0.33913038897437353</v>
      </c>
      <c r="J34">
        <v>9.4209735361731646</v>
      </c>
    </row>
    <row r="35" spans="2:10" x14ac:dyDescent="0.25">
      <c r="B35" s="583" t="s">
        <v>623</v>
      </c>
      <c r="C35">
        <v>2.0976107342526123E-2</v>
      </c>
      <c r="D35">
        <v>2.01267282426143E-2</v>
      </c>
      <c r="E35">
        <v>1.6162138391826488</v>
      </c>
      <c r="F35">
        <v>6.1051200692405355E-2</v>
      </c>
      <c r="G35">
        <v>71.692974548992751</v>
      </c>
      <c r="H35">
        <v>137.73112449314951</v>
      </c>
      <c r="I35">
        <v>0.37930542480989449</v>
      </c>
      <c r="J35">
        <v>32.540262919737081</v>
      </c>
    </row>
    <row r="36" spans="2:10" x14ac:dyDescent="0.25">
      <c r="B36" s="583" t="s">
        <v>626</v>
      </c>
      <c r="C36">
        <v>1.8198303532747599E-2</v>
      </c>
      <c r="D36" t="e">
        <v>#DIV/0!</v>
      </c>
      <c r="E36" t="e">
        <v>#DIV/0!</v>
      </c>
      <c r="F36">
        <v>9.0092714340318999E-2</v>
      </c>
      <c r="G36">
        <v>77.425169262883657</v>
      </c>
      <c r="H36">
        <v>72.694241678455953</v>
      </c>
      <c r="I36">
        <v>0.92357550157518598</v>
      </c>
      <c r="J36">
        <v>33.579162467470603</v>
      </c>
    </row>
    <row r="37" spans="2:10" x14ac:dyDescent="0.25">
      <c r="B37" s="583" t="s">
        <v>629</v>
      </c>
      <c r="C37">
        <v>1.51141191182843E-2</v>
      </c>
      <c r="D37">
        <v>9.4684945026572404E-2</v>
      </c>
      <c r="E37" t="e">
        <v>#DIV/0!</v>
      </c>
      <c r="F37">
        <v>6.7638162397057958E-2</v>
      </c>
      <c r="G37">
        <v>253.01955121044</v>
      </c>
      <c r="H37">
        <v>164.44143310799799</v>
      </c>
      <c r="I37">
        <v>4.8837145941860296</v>
      </c>
      <c r="J37">
        <v>70.420356023194316</v>
      </c>
    </row>
    <row r="38" spans="2:10" x14ac:dyDescent="0.25">
      <c r="B38" s="583" t="s">
        <v>632</v>
      </c>
      <c r="C38">
        <v>1.30504355367185E-2</v>
      </c>
      <c r="D38" t="e">
        <v>#DIV/0!</v>
      </c>
      <c r="E38" t="e">
        <v>#DIV/0!</v>
      </c>
      <c r="F38">
        <v>6.8542432270828797E-3</v>
      </c>
      <c r="G38">
        <v>2.42078182771044</v>
      </c>
      <c r="H38">
        <v>11.175900164332301</v>
      </c>
      <c r="I38">
        <v>2.75433978637258E-2</v>
      </c>
      <c r="J38">
        <v>3.4085444323220919</v>
      </c>
    </row>
    <row r="39" spans="2:10" x14ac:dyDescent="0.25">
      <c r="B39" s="583" t="s">
        <v>635</v>
      </c>
      <c r="C39">
        <v>1.5113093310749399E-2</v>
      </c>
      <c r="D39">
        <v>0.107198974715705</v>
      </c>
      <c r="E39" t="e">
        <v>#DIV/0!</v>
      </c>
      <c r="F39" t="e">
        <v>#DIV/0!</v>
      </c>
      <c r="G39">
        <v>66.995849216314198</v>
      </c>
      <c r="H39">
        <v>102.33564082896585</v>
      </c>
      <c r="I39">
        <v>0.41024815869313203</v>
      </c>
      <c r="J39">
        <v>37.735655729920403</v>
      </c>
    </row>
    <row r="40" spans="2:10" x14ac:dyDescent="0.25">
      <c r="B40" s="583" t="s">
        <v>638</v>
      </c>
      <c r="C40">
        <v>1.30504355367185E-2</v>
      </c>
      <c r="D40">
        <v>0.143318800939258</v>
      </c>
      <c r="E40" t="e">
        <v>#DIV/0!</v>
      </c>
      <c r="F40" t="e">
        <v>#DIV/0!</v>
      </c>
      <c r="G40">
        <v>7.3028012985800652</v>
      </c>
      <c r="H40">
        <v>16.944078862853299</v>
      </c>
      <c r="I40">
        <v>2.9831979508831589E-2</v>
      </c>
      <c r="J40">
        <v>6.0887241897950455</v>
      </c>
    </row>
    <row r="41" spans="2:10" x14ac:dyDescent="0.25">
      <c r="B41" s="583" t="s">
        <v>641</v>
      </c>
      <c r="C41">
        <v>5.7872035039581802E-3</v>
      </c>
      <c r="D41">
        <v>0.11378695858072201</v>
      </c>
      <c r="E41">
        <v>1.5909942624289342</v>
      </c>
      <c r="F41">
        <v>1.3480202007630599E-2</v>
      </c>
      <c r="G41">
        <v>189.13463847493551</v>
      </c>
      <c r="H41">
        <v>52.781506426970452</v>
      </c>
      <c r="I41">
        <v>0.17788096131276898</v>
      </c>
      <c r="J41">
        <v>40.625740151574298</v>
      </c>
    </row>
    <row r="42" spans="2:10" x14ac:dyDescent="0.25">
      <c r="B42" s="583" t="s">
        <v>644</v>
      </c>
      <c r="C42">
        <v>2.3848786850320047E-2</v>
      </c>
      <c r="D42">
        <v>0.23742431753790449</v>
      </c>
      <c r="E42">
        <v>6.3919684809238753</v>
      </c>
      <c r="F42">
        <v>2.2083593892891201E-2</v>
      </c>
      <c r="G42">
        <v>0.54184527253005299</v>
      </c>
      <c r="H42">
        <v>0.81645928521633104</v>
      </c>
      <c r="I42">
        <v>4.6632892863396398E-2</v>
      </c>
      <c r="J42">
        <v>1.1543232328306818</v>
      </c>
    </row>
    <row r="43" spans="2:10" x14ac:dyDescent="0.25">
      <c r="B43" s="583" t="s">
        <v>647</v>
      </c>
      <c r="C43">
        <v>8.3902990707945494E-3</v>
      </c>
      <c r="D43" t="e">
        <v>#DIV/0!</v>
      </c>
      <c r="E43">
        <v>0.62911691962292005</v>
      </c>
      <c r="F43">
        <v>2.10504212969641E-4</v>
      </c>
      <c r="G43">
        <v>4.2603343187674447</v>
      </c>
      <c r="H43">
        <v>11.24252307184385</v>
      </c>
      <c r="I43">
        <v>5.6103376956050499E-2</v>
      </c>
      <c r="J43">
        <v>3.1764029557112172</v>
      </c>
    </row>
    <row r="44" spans="2:10" x14ac:dyDescent="0.25">
      <c r="B44" s="583" t="s">
        <v>650</v>
      </c>
      <c r="C44">
        <v>1.7688545733494751E-2</v>
      </c>
      <c r="D44">
        <v>5.2304198143549002E-2</v>
      </c>
      <c r="E44">
        <v>1.2741230097883651</v>
      </c>
      <c r="F44">
        <v>2.8691044358406456E-3</v>
      </c>
      <c r="G44">
        <v>77.706175732442006</v>
      </c>
      <c r="H44">
        <v>30.487290576607847</v>
      </c>
      <c r="I44">
        <v>0.31641777063481602</v>
      </c>
      <c r="J44">
        <v>15.693838419683702</v>
      </c>
    </row>
    <row r="45" spans="2:10" x14ac:dyDescent="0.25">
      <c r="B45" s="583" t="s">
        <v>653</v>
      </c>
      <c r="C45">
        <v>1.5371560630993E-2</v>
      </c>
      <c r="D45">
        <v>4.0570968083609903E-2</v>
      </c>
      <c r="E45" t="e">
        <v>#DIV/0!</v>
      </c>
      <c r="F45">
        <v>2.3404883970521199E-2</v>
      </c>
      <c r="G45">
        <v>23.361640197347899</v>
      </c>
      <c r="H45">
        <v>39.5571674877989</v>
      </c>
      <c r="I45">
        <v>9.2285702918507795E-2</v>
      </c>
      <c r="J45">
        <v>11.467300966674296</v>
      </c>
    </row>
    <row r="46" spans="2:10" x14ac:dyDescent="0.25">
      <c r="B46" s="583" t="s">
        <v>656</v>
      </c>
      <c r="C46">
        <v>2.5635434958454648E-2</v>
      </c>
      <c r="D46">
        <v>0.361135452773506</v>
      </c>
      <c r="E46">
        <v>6.5471284915137549</v>
      </c>
      <c r="F46">
        <v>7.4219663321503204E-2</v>
      </c>
      <c r="G46">
        <v>0.74881161681581054</v>
      </c>
      <c r="H46">
        <v>0.19363746234205648</v>
      </c>
      <c r="I46">
        <v>2.6765629389869001E-2</v>
      </c>
      <c r="J46">
        <v>1.1396191073021367</v>
      </c>
    </row>
    <row r="47" spans="2:10" x14ac:dyDescent="0.25">
      <c r="B47" s="583" t="s">
        <v>659</v>
      </c>
      <c r="C47">
        <v>3.5596991939442248E-2</v>
      </c>
      <c r="D47">
        <v>0.21316489305755099</v>
      </c>
      <c r="E47">
        <v>6.1208845234541744</v>
      </c>
      <c r="F47">
        <v>4.4534835872768651E-2</v>
      </c>
      <c r="G47">
        <v>0.72682084165392657</v>
      </c>
      <c r="H47">
        <v>0.57704620611347701</v>
      </c>
      <c r="I47">
        <v>3.792226275458345E-2</v>
      </c>
      <c r="J47">
        <v>1.1079957935494176</v>
      </c>
    </row>
    <row r="48" spans="2:10" x14ac:dyDescent="0.25">
      <c r="B48" s="583" t="s">
        <v>662</v>
      </c>
      <c r="C48">
        <v>6.2669947255282058E-3</v>
      </c>
      <c r="D48">
        <v>0.12693398316280299</v>
      </c>
      <c r="E48">
        <v>1.00965913439791</v>
      </c>
      <c r="F48">
        <v>1.87756425361808E-2</v>
      </c>
      <c r="G48">
        <v>46.772024415326449</v>
      </c>
      <c r="H48">
        <v>37.049517726780294</v>
      </c>
      <c r="I48">
        <v>0.74019369261983359</v>
      </c>
      <c r="J48">
        <v>15.481034038091009</v>
      </c>
    </row>
    <row r="49" spans="2:10" x14ac:dyDescent="0.25">
      <c r="B49" s="583" t="s">
        <v>665</v>
      </c>
      <c r="C49">
        <v>1.0714349181636499E-2</v>
      </c>
      <c r="D49">
        <v>0.16291728166609001</v>
      </c>
      <c r="E49" t="e">
        <v>#DIV/0!</v>
      </c>
      <c r="F49">
        <v>8.1694441087368716E-3</v>
      </c>
      <c r="G49">
        <v>66.912901537906748</v>
      </c>
      <c r="H49">
        <v>23.326431863654598</v>
      </c>
      <c r="I49">
        <v>0.42589698852686952</v>
      </c>
      <c r="J49">
        <v>16.502831422583935</v>
      </c>
    </row>
    <row r="50" spans="2:10" x14ac:dyDescent="0.25">
      <c r="B50" s="583" t="s">
        <v>668</v>
      </c>
      <c r="C50">
        <v>1.12297934688052E-2</v>
      </c>
      <c r="D50">
        <v>0.146589782140846</v>
      </c>
      <c r="E50">
        <v>1.2147742980534741</v>
      </c>
      <c r="F50">
        <v>6.1903597967977297E-3</v>
      </c>
      <c r="G50">
        <v>145.59580579873801</v>
      </c>
      <c r="H50">
        <v>52.519100514726546</v>
      </c>
      <c r="I50">
        <v>0.18407799327246049</v>
      </c>
      <c r="J50">
        <v>30.708380561404081</v>
      </c>
    </row>
    <row r="51" spans="2:10" x14ac:dyDescent="0.25">
      <c r="B51" s="583" t="s">
        <v>671</v>
      </c>
      <c r="C51">
        <v>1.9486098089182398E-2</v>
      </c>
      <c r="D51">
        <v>0.34349774100939001</v>
      </c>
      <c r="E51">
        <v>5.6130838983479947</v>
      </c>
      <c r="F51">
        <v>4.45531456380448E-2</v>
      </c>
      <c r="G51">
        <v>0.87660178626811947</v>
      </c>
      <c r="H51">
        <v>0.31295428878828851</v>
      </c>
      <c r="I51">
        <v>3.6730180539454899E-2</v>
      </c>
      <c r="J51">
        <v>1.035272448382925</v>
      </c>
    </row>
    <row r="52" spans="2:10" x14ac:dyDescent="0.25">
      <c r="B52" s="583" t="s">
        <v>674</v>
      </c>
      <c r="C52">
        <v>2.564102651775425E-2</v>
      </c>
      <c r="D52">
        <v>0.364348170961171</v>
      </c>
      <c r="E52">
        <v>9.2439341889673052</v>
      </c>
      <c r="F52">
        <v>2.8696143345199848E-2</v>
      </c>
      <c r="G52">
        <v>1.219381858875455</v>
      </c>
      <c r="H52">
        <v>0.99090072550427799</v>
      </c>
      <c r="I52">
        <v>7.3464023548341806E-2</v>
      </c>
      <c r="J52">
        <v>1.7066237339599299</v>
      </c>
    </row>
    <row r="53" spans="2:10" x14ac:dyDescent="0.25">
      <c r="B53" s="583" t="s">
        <v>686</v>
      </c>
      <c r="C53">
        <v>30.460965908379485</v>
      </c>
      <c r="D53">
        <v>186.17459924144723</v>
      </c>
      <c r="E53">
        <v>1205.3267853622924</v>
      </c>
      <c r="F53">
        <v>67.26256287783356</v>
      </c>
      <c r="G53">
        <v>197.02823100536307</v>
      </c>
      <c r="H53">
        <v>152.5556084336549</v>
      </c>
      <c r="I53">
        <v>17.761869095364577</v>
      </c>
      <c r="J53">
        <v>226.9408937350629</v>
      </c>
    </row>
  </sheetData>
  <hyperlinks>
    <hyperlink ref="A1" location="'Table of Contents'!A1" display="Table of Contents" xr:uid="{1E5C37FA-31B0-4EDC-A424-7A4CBBE10E5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6D3D-20E8-4494-9957-554664B773D3}">
  <dimension ref="A1:AL62"/>
  <sheetViews>
    <sheetView zoomScale="115" zoomScaleNormal="115" workbookViewId="0">
      <selection activeCell="N28" sqref="A11:N34"/>
    </sheetView>
  </sheetViews>
  <sheetFormatPr defaultRowHeight="15" x14ac:dyDescent="0.25"/>
  <cols>
    <col min="2" max="2" width="11.42578125" customWidth="1"/>
    <col min="3" max="3" width="11.28515625" customWidth="1"/>
    <col min="4" max="4" width="7.7109375" customWidth="1"/>
  </cols>
  <sheetData>
    <row r="1" spans="1:38" ht="15.75" thickBot="1" x14ac:dyDescent="0.3">
      <c r="A1" s="1" t="s">
        <v>9</v>
      </c>
      <c r="B1" s="481" t="s">
        <v>10</v>
      </c>
      <c r="C1" s="482" t="s">
        <v>8</v>
      </c>
      <c r="D1" s="8" t="s">
        <v>702</v>
      </c>
      <c r="E1" s="9" t="s">
        <v>56</v>
      </c>
      <c r="F1" s="8" t="s">
        <v>528</v>
      </c>
      <c r="G1" s="8" t="s">
        <v>680</v>
      </c>
      <c r="H1" s="8" t="s">
        <v>681</v>
      </c>
      <c r="I1" s="8" t="s">
        <v>677</v>
      </c>
      <c r="J1" s="8" t="s">
        <v>678</v>
      </c>
      <c r="K1" s="8" t="s">
        <v>679</v>
      </c>
      <c r="L1" s="9" t="s">
        <v>682</v>
      </c>
    </row>
    <row r="2" spans="1:38" x14ac:dyDescent="0.25">
      <c r="B2" s="627" t="s">
        <v>149</v>
      </c>
      <c r="C2" s="638" t="s">
        <v>376</v>
      </c>
      <c r="D2" s="701" t="s">
        <v>490</v>
      </c>
      <c r="E2" s="9">
        <v>1</v>
      </c>
      <c r="F2" s="8">
        <v>1.7945601105720251E-2</v>
      </c>
      <c r="G2" s="8"/>
      <c r="H2" s="8">
        <v>0.62911691962292005</v>
      </c>
      <c r="I2" s="8">
        <v>1.7452119507223501E-2</v>
      </c>
      <c r="J2" s="8">
        <v>32.942598430799599</v>
      </c>
      <c r="K2" s="8">
        <v>101.1132550491071</v>
      </c>
      <c r="L2" s="9">
        <v>8.3629832215762798E-2</v>
      </c>
    </row>
    <row r="3" spans="1:38" ht="15.75" thickBot="1" x14ac:dyDescent="0.3">
      <c r="B3" s="628"/>
      <c r="C3" s="696"/>
      <c r="D3" s="669"/>
      <c r="E3" s="4">
        <v>2</v>
      </c>
      <c r="F3">
        <v>6.8124071449362196E-3</v>
      </c>
      <c r="G3">
        <v>2.6983432486636202E-2</v>
      </c>
      <c r="H3">
        <v>3.1193878588598301</v>
      </c>
      <c r="J3">
        <v>83.646173680998544</v>
      </c>
      <c r="K3">
        <v>175.91080319996598</v>
      </c>
      <c r="L3" s="4">
        <v>0.31345682333873048</v>
      </c>
    </row>
    <row r="4" spans="1:38" x14ac:dyDescent="0.25">
      <c r="B4" s="628"/>
      <c r="C4" s="696"/>
      <c r="D4" s="670"/>
      <c r="E4" s="165">
        <v>3</v>
      </c>
      <c r="F4" s="162">
        <v>1.1236533092293475E-2</v>
      </c>
      <c r="G4" s="162"/>
      <c r="H4" s="162">
        <v>0.82424586736791405</v>
      </c>
      <c r="I4" s="162">
        <v>1.0830911635285601E-2</v>
      </c>
      <c r="J4" s="162">
        <v>26.3311302026435</v>
      </c>
      <c r="K4" s="162">
        <v>88.05259923715559</v>
      </c>
      <c r="L4" s="165">
        <v>6.4025886039728253E-2</v>
      </c>
      <c r="O4" s="644" t="s">
        <v>703</v>
      </c>
      <c r="P4" s="701"/>
      <c r="Q4" s="701"/>
      <c r="R4" s="828" t="s">
        <v>528</v>
      </c>
      <c r="S4" s="829"/>
      <c r="T4" s="829"/>
      <c r="U4" s="828" t="s">
        <v>680</v>
      </c>
      <c r="V4" s="829"/>
      <c r="W4" s="829"/>
      <c r="X4" s="828" t="s">
        <v>681</v>
      </c>
      <c r="Y4" s="829"/>
      <c r="Z4" s="829"/>
      <c r="AA4" s="828" t="s">
        <v>677</v>
      </c>
      <c r="AB4" s="829"/>
      <c r="AC4" s="829"/>
      <c r="AD4" s="828" t="s">
        <v>678</v>
      </c>
      <c r="AE4" s="829"/>
      <c r="AF4" s="829"/>
      <c r="AG4" s="828" t="s">
        <v>679</v>
      </c>
      <c r="AH4" s="829"/>
      <c r="AI4" s="829"/>
      <c r="AJ4" s="828" t="s">
        <v>682</v>
      </c>
      <c r="AK4" s="829"/>
      <c r="AL4" s="830"/>
    </row>
    <row r="5" spans="1:38" x14ac:dyDescent="0.25">
      <c r="B5" s="628"/>
      <c r="C5" s="696"/>
      <c r="D5" s="753" t="s">
        <v>491</v>
      </c>
      <c r="E5" s="4">
        <v>1</v>
      </c>
      <c r="F5">
        <v>9.6508859996279686E-3</v>
      </c>
      <c r="G5">
        <v>1.6676639641625801E-2</v>
      </c>
      <c r="H5">
        <v>3.0506604196999199</v>
      </c>
      <c r="J5">
        <v>4.4854272801904695</v>
      </c>
      <c r="K5">
        <v>16.218878275513902</v>
      </c>
      <c r="L5" s="4">
        <v>7.3073243980093794E-2</v>
      </c>
      <c r="O5" s="784"/>
      <c r="P5" s="670"/>
      <c r="Q5" s="670"/>
      <c r="R5" s="138" t="s">
        <v>502</v>
      </c>
      <c r="S5" s="162" t="s">
        <v>503</v>
      </c>
      <c r="T5" s="162" t="s">
        <v>504</v>
      </c>
      <c r="U5" s="138" t="s">
        <v>502</v>
      </c>
      <c r="V5" s="162" t="s">
        <v>503</v>
      </c>
      <c r="W5" s="162" t="s">
        <v>504</v>
      </c>
      <c r="X5" s="138" t="s">
        <v>502</v>
      </c>
      <c r="Y5" s="162" t="s">
        <v>503</v>
      </c>
      <c r="Z5" s="162" t="s">
        <v>504</v>
      </c>
      <c r="AA5" s="138" t="s">
        <v>502</v>
      </c>
      <c r="AB5" s="162" t="s">
        <v>503</v>
      </c>
      <c r="AC5" s="162" t="s">
        <v>504</v>
      </c>
      <c r="AD5" s="138" t="s">
        <v>502</v>
      </c>
      <c r="AE5" s="162" t="s">
        <v>503</v>
      </c>
      <c r="AF5" s="162" t="s">
        <v>504</v>
      </c>
      <c r="AG5" s="138" t="s">
        <v>502</v>
      </c>
      <c r="AH5" s="162" t="s">
        <v>503</v>
      </c>
      <c r="AI5" s="162" t="s">
        <v>504</v>
      </c>
      <c r="AJ5" s="138" t="s">
        <v>502</v>
      </c>
      <c r="AK5" s="162" t="s">
        <v>503</v>
      </c>
      <c r="AL5" s="165" t="s">
        <v>504</v>
      </c>
    </row>
    <row r="6" spans="1:38" x14ac:dyDescent="0.25">
      <c r="B6" s="628"/>
      <c r="C6" s="696"/>
      <c r="D6" s="669"/>
      <c r="E6" s="4">
        <v>2</v>
      </c>
      <c r="F6">
        <v>2.20329408506224E-2</v>
      </c>
      <c r="H6">
        <v>0.18176725866537799</v>
      </c>
      <c r="I6">
        <v>4.91551968217043E-2</v>
      </c>
      <c r="J6">
        <v>17.694570730063852</v>
      </c>
      <c r="K6">
        <v>32.555132862132396</v>
      </c>
      <c r="L6" s="4">
        <v>0.59782801049205103</v>
      </c>
      <c r="O6" s="831" t="s">
        <v>42</v>
      </c>
      <c r="P6" s="675" t="s">
        <v>12</v>
      </c>
      <c r="Q6" s="268">
        <v>2</v>
      </c>
      <c r="R6" s="163">
        <f>AVERAGE(F11:F13)</f>
        <v>1.353544675760277E-2</v>
      </c>
      <c r="S6" s="268">
        <f>STDEV(F11:F13)</f>
        <v>9.1881519353386506E-3</v>
      </c>
      <c r="T6" s="133">
        <f>COUNT(F11:F13)</f>
        <v>3</v>
      </c>
      <c r="U6" s="163">
        <f>AVERAGE(G11:G13)</f>
        <v>9.1799609584662434E-2</v>
      </c>
      <c r="V6" s="268">
        <f>STDEV(G11:G13)</f>
        <v>6.4394047197689819E-2</v>
      </c>
      <c r="W6" s="133">
        <f>COUNT(G11:G13)</f>
        <v>3</v>
      </c>
      <c r="X6" s="163">
        <f>AVERAGE(H11:H13)</f>
        <v>3.5750493546604787</v>
      </c>
      <c r="Y6" s="268">
        <f>STDEV(H11:H13)</f>
        <v>0.44289614963332463</v>
      </c>
      <c r="Z6" s="133">
        <f>COUNT(H11:H13)</f>
        <v>3</v>
      </c>
      <c r="AA6" s="163">
        <f>AVERAGE(I11:I13)</f>
        <v>5.6724991446787588E-2</v>
      </c>
      <c r="AB6" s="268">
        <f>STDEV(I11:I13)</f>
        <v>6.2103342020013927E-2</v>
      </c>
      <c r="AC6" s="133">
        <f>COUNT(I11:I13)</f>
        <v>2</v>
      </c>
      <c r="AD6" s="163">
        <f>AVERAGE(J11:J13)</f>
        <v>113.35198843931039</v>
      </c>
      <c r="AE6" s="268">
        <f>STDEV(J11:J13)</f>
        <v>58.99610847962186</v>
      </c>
      <c r="AF6" s="133">
        <f>COUNT(J11:J13)</f>
        <v>3</v>
      </c>
      <c r="AG6" s="163">
        <f>AVERAGE(K11:K13)</f>
        <v>348.95684272124845</v>
      </c>
      <c r="AH6" s="268">
        <f>STDEV(K11:K13)</f>
        <v>284.36073252271109</v>
      </c>
      <c r="AI6" s="133">
        <f>COUNT(K11:K13)</f>
        <v>3</v>
      </c>
      <c r="AJ6" s="163">
        <f>AVERAGE(L11:L13)</f>
        <v>0.42611316292575635</v>
      </c>
      <c r="AK6" s="268">
        <f>STDEV(L11:L13)</f>
        <v>5.2614529505645408E-2</v>
      </c>
      <c r="AL6" s="164">
        <f>COUNT(L11:L13)</f>
        <v>3</v>
      </c>
    </row>
    <row r="7" spans="1:38" x14ac:dyDescent="0.25">
      <c r="B7" s="628"/>
      <c r="C7" s="696"/>
      <c r="D7" s="670"/>
      <c r="E7" s="165">
        <v>3</v>
      </c>
      <c r="F7" s="162">
        <v>1.30504355367185E-2</v>
      </c>
      <c r="G7" s="162"/>
      <c r="H7" s="162"/>
      <c r="I7" s="162">
        <v>6.8542432270828797E-3</v>
      </c>
      <c r="J7" s="162">
        <v>2.42078182771044</v>
      </c>
      <c r="K7" s="162">
        <v>11.175900164332301</v>
      </c>
      <c r="L7" s="165">
        <v>2.75433978637258E-2</v>
      </c>
      <c r="O7" s="628"/>
      <c r="P7" s="666"/>
      <c r="Q7">
        <v>4</v>
      </c>
      <c r="R7" s="79">
        <f>AVERAGE(F14:F16)</f>
        <v>1.7772050700306883E-2</v>
      </c>
      <c r="S7">
        <f>STDEV(F14:F16)</f>
        <v>2.7016779281651103E-3</v>
      </c>
      <c r="T7" s="132">
        <f>COUNT(F14:F16)</f>
        <v>3</v>
      </c>
      <c r="U7" s="79">
        <f>AVERAGE(G14:G16)</f>
        <v>5.4036562340568084E-2</v>
      </c>
      <c r="V7">
        <f>STDEV(G14:G16)</f>
        <v>5.231774570286235E-2</v>
      </c>
      <c r="W7" s="132">
        <f>COUNT(G14:G16)</f>
        <v>3</v>
      </c>
      <c r="X7" s="79">
        <f>AVERAGE(H14:H16)</f>
        <v>1.2741230097883651</v>
      </c>
      <c r="Y7" t="e">
        <f>STDEV(H14:H16)</f>
        <v>#DIV/0!</v>
      </c>
      <c r="Z7" s="132">
        <f>COUNT(H14:H16)</f>
        <v>1</v>
      </c>
      <c r="AA7" s="79">
        <f>AVERAGE(I14:I16)</f>
        <v>5.8523686978633532E-3</v>
      </c>
      <c r="AB7">
        <f>STDEV(I14:I16)</f>
        <v>4.2189727794954748E-3</v>
      </c>
      <c r="AC7" s="132">
        <f>COUNT(I14:I16)</f>
        <v>2</v>
      </c>
      <c r="AD7" s="79">
        <f>AVERAGE(J14:J16)</f>
        <v>55.892417019623451</v>
      </c>
      <c r="AE7">
        <f>STDEV(J14:J16)</f>
        <v>29.005755748649765</v>
      </c>
      <c r="AF7" s="132">
        <f>COUNT(J14:J16)</f>
        <v>3</v>
      </c>
      <c r="AG7" s="79">
        <f>AVERAGE(K14:K16)</f>
        <v>53.764425317446602</v>
      </c>
      <c r="AH7">
        <f>STDEV(K14:K16)</f>
        <v>42.07599374966275</v>
      </c>
      <c r="AI7" s="132">
        <f>COUNT(K14:K16)</f>
        <v>3</v>
      </c>
      <c r="AJ7" s="79">
        <f>AVERAGE(L14:L16)</f>
        <v>0.35526543943410721</v>
      </c>
      <c r="AK7">
        <f>STDEV(L14:L16)</f>
        <v>4.8951918458801327E-2</v>
      </c>
      <c r="AL7" s="4">
        <f>COUNT(L14:L16)</f>
        <v>3</v>
      </c>
    </row>
    <row r="8" spans="1:38" x14ac:dyDescent="0.25">
      <c r="B8" s="628"/>
      <c r="C8" s="696"/>
      <c r="D8" s="753" t="s">
        <v>492</v>
      </c>
      <c r="E8" s="4">
        <v>1</v>
      </c>
      <c r="F8">
        <v>8.3902990707945494E-3</v>
      </c>
      <c r="H8">
        <v>0.62911691962292005</v>
      </c>
      <c r="I8">
        <v>2.10504212969641E-4</v>
      </c>
      <c r="J8">
        <v>4.2603343187674447</v>
      </c>
      <c r="K8">
        <v>11.24252307184385</v>
      </c>
      <c r="L8" s="4">
        <v>5.6103376956050499E-2</v>
      </c>
      <c r="O8" s="628"/>
      <c r="P8" s="745"/>
      <c r="Q8" s="162">
        <v>6</v>
      </c>
      <c r="R8" s="138">
        <f>AVERAGE(F17:F19)</f>
        <v>1.1393482529408389E-2</v>
      </c>
      <c r="S8" s="162">
        <f>STDEV(F17:F19)</f>
        <v>2.4124057863586018E-3</v>
      </c>
      <c r="T8" s="134">
        <f>COUNT(F17:F19)</f>
        <v>3</v>
      </c>
      <c r="U8" s="138">
        <f>AVERAGE(G17:G19)</f>
        <v>0.15146920874829051</v>
      </c>
      <c r="V8" s="162">
        <f>STDEV(G17:G19)</f>
        <v>1.6190019983388194E-2</v>
      </c>
      <c r="W8" s="134">
        <f>COUNT(G17:G19)</f>
        <v>2</v>
      </c>
      <c r="X8" s="138">
        <f>AVERAGE(H17:H19)</f>
        <v>1.7162651626219949</v>
      </c>
      <c r="Y8" s="162">
        <f>STDEV(H17:H19)</f>
        <v>0.50329479215833839</v>
      </c>
      <c r="Z8" s="134">
        <f>COUNT(H17:H19)</f>
        <v>2</v>
      </c>
      <c r="AA8" s="138">
        <f>AVERAGE(I17:I19)</f>
        <v>9.1687082303921127E-3</v>
      </c>
      <c r="AB8" s="162">
        <f>STDEV(I17:I19)</f>
        <v>1.4131728732376817E-3</v>
      </c>
      <c r="AC8" s="134">
        <f>COUNT(I17:I19)</f>
        <v>2</v>
      </c>
      <c r="AD8" s="138">
        <f>AVERAGE(J17:J19)</f>
        <v>77.348010266421284</v>
      </c>
      <c r="AE8" s="162">
        <f>STDEV(J17:J19)</f>
        <v>14.041147918213008</v>
      </c>
      <c r="AF8" s="134">
        <f>COUNT(J17:J19)</f>
        <v>3</v>
      </c>
      <c r="AG8" s="138">
        <f>AVERAGE(K17:K19)</f>
        <v>26.818635485712534</v>
      </c>
      <c r="AH8" s="162">
        <f>STDEV(K17:K19)</f>
        <v>15.123892606821434</v>
      </c>
      <c r="AI8" s="134">
        <f>COUNT(K17:K19)</f>
        <v>3</v>
      </c>
      <c r="AJ8" s="138">
        <f>AVERAGE(L17:L19)</f>
        <v>0.34400860188806531</v>
      </c>
      <c r="AK8" s="162">
        <f>STDEV(L17:L19)</f>
        <v>0.14018539184658904</v>
      </c>
      <c r="AL8" s="165">
        <f>COUNT(L17:L19)</f>
        <v>3</v>
      </c>
    </row>
    <row r="9" spans="1:38" x14ac:dyDescent="0.25">
      <c r="B9" s="628"/>
      <c r="C9" s="696"/>
      <c r="D9" s="669"/>
      <c r="E9" s="4">
        <v>2</v>
      </c>
      <c r="F9">
        <v>6.2669947255282058E-3</v>
      </c>
      <c r="G9">
        <v>0.12693398316280299</v>
      </c>
      <c r="H9">
        <v>1.00965913439791</v>
      </c>
      <c r="I9">
        <v>1.87756425361808E-2</v>
      </c>
      <c r="J9">
        <v>46.772024415326449</v>
      </c>
      <c r="K9">
        <v>37.049517726780294</v>
      </c>
      <c r="L9" s="4">
        <v>0.74019369261983359</v>
      </c>
      <c r="O9" s="628"/>
      <c r="P9" s="675" t="s">
        <v>219</v>
      </c>
      <c r="Q9" s="268">
        <v>2</v>
      </c>
      <c r="R9" s="163">
        <f>AVERAGE(F2:F4,F35:F36)</f>
        <v>1.3481415478284209E-2</v>
      </c>
      <c r="S9" s="268">
        <f>STDEV(F2:F4,F35:F36)</f>
        <v>8.315175680434694E-3</v>
      </c>
      <c r="T9" s="133">
        <f>COUNT(F2:F4,F35:F36)</f>
        <v>5</v>
      </c>
      <c r="U9" s="163">
        <f>AVERAGE(G2:G4,G35:G36)</f>
        <v>2.1785145572598159E-2</v>
      </c>
      <c r="V9" s="268">
        <f>STDEV(G2:G4,G35:G36)</f>
        <v>1.0486342560515801E-2</v>
      </c>
      <c r="W9" s="133">
        <f>COUNT(G2:G4,G35:G36)</f>
        <v>3</v>
      </c>
      <c r="X9" s="163">
        <f>AVERAGE(H2:H4,H35:H36)</f>
        <v>2.0838222465933605</v>
      </c>
      <c r="Y9" s="268">
        <f>STDEV(H2:H4,H35:H36)</f>
        <v>1.2767043757478707</v>
      </c>
      <c r="Z9" s="133">
        <f>COUNT(H2:H4,H35:H36)</f>
        <v>5</v>
      </c>
      <c r="AA9" s="163">
        <f>AVERAGE(I2:I4,I35:I36)</f>
        <v>3.3954663828539601E-2</v>
      </c>
      <c r="AB9" s="268">
        <f>STDEV(I2:I4,I35:I36)</f>
        <v>3.8408404743754287E-2</v>
      </c>
      <c r="AC9" s="133">
        <f>COUNT(I2:I4,I35:I36)</f>
        <v>4</v>
      </c>
      <c r="AD9" s="163">
        <f>AVERAGE(J2:J4,J35:J36)</f>
        <v>126.05603077208852</v>
      </c>
      <c r="AE9" s="268">
        <f>STDEV(J2:J4,J35:J36)</f>
        <v>162.56525362956452</v>
      </c>
      <c r="AF9" s="133">
        <f>COUNT(J2:J4,J35:J36)</f>
        <v>5</v>
      </c>
      <c r="AG9" s="163">
        <f>AVERAGE(K2:K4,K35:K36)</f>
        <v>256.56374183313926</v>
      </c>
      <c r="AH9" s="268">
        <f>STDEV(K2:K4,K35:K36)</f>
        <v>219.21372342854605</v>
      </c>
      <c r="AI9" s="133">
        <f>COUNT(K2:K4,K35:K36)</f>
        <v>5</v>
      </c>
      <c r="AJ9" s="163">
        <f>AVERAGE(L2:L4,L35:L36)</f>
        <v>0.28779719920744151</v>
      </c>
      <c r="AK9" s="268">
        <f>STDEV(L2:L4,L35:L36)</f>
        <v>0.32945066091010333</v>
      </c>
      <c r="AL9" s="164">
        <f>COUNT(L2:L4,L35:L36)</f>
        <v>5</v>
      </c>
    </row>
    <row r="10" spans="1:38" ht="15.75" thickBot="1" x14ac:dyDescent="0.3">
      <c r="B10" s="629"/>
      <c r="C10" s="639"/>
      <c r="D10" s="684"/>
      <c r="E10" s="7">
        <v>3</v>
      </c>
      <c r="F10" s="6">
        <v>6.8259544447678653E-3</v>
      </c>
      <c r="G10" s="6"/>
      <c r="H10" s="6">
        <v>1.00965913439791</v>
      </c>
      <c r="I10" s="6">
        <v>3.4641932108832346E-2</v>
      </c>
      <c r="J10" s="6">
        <v>1.7197473625262949</v>
      </c>
      <c r="K10" s="6">
        <v>6.4272599931804102</v>
      </c>
      <c r="L10" s="7">
        <v>5.8111985509959593E-2</v>
      </c>
      <c r="O10" s="628"/>
      <c r="P10" s="666"/>
      <c r="Q10">
        <v>4</v>
      </c>
      <c r="R10" s="79">
        <f>AVERAGE(F5:F7,F37:F38)</f>
        <v>1.2286613159179347E-2</v>
      </c>
      <c r="S10">
        <f>STDEV(F5:F7,F37:F38)</f>
        <v>7.5007909117803979E-3</v>
      </c>
      <c r="T10" s="132">
        <f>COUNT(F5:F7,F37:F38)</f>
        <v>5</v>
      </c>
      <c r="U10" s="79">
        <f>AVERAGE(G5:G7,G37:G38)</f>
        <v>9.1426288778096068E-2</v>
      </c>
      <c r="V10">
        <f>STDEV(G5:G7,G37:G38)</f>
        <v>7.3174759824280761E-2</v>
      </c>
      <c r="W10" s="132">
        <f>COUNT(G5:G7,G37:G38)</f>
        <v>3</v>
      </c>
      <c r="X10" s="79">
        <f>AVERAGE(H5:H7,H37:H38)</f>
        <v>1.6162138391826488</v>
      </c>
      <c r="Y10">
        <f>STDEV(H5:H7,H37:H38)</f>
        <v>2.0286138086672345</v>
      </c>
      <c r="Z10" s="132">
        <f>COUNT(H5:H7,H37:H38)</f>
        <v>2</v>
      </c>
      <c r="AA10" s="79">
        <f>AVERAGE(I5:I7,I37:I38)</f>
        <v>4.121586748194838E-2</v>
      </c>
      <c r="AB10">
        <f>STDEV(I5:I7,I37:I38)</f>
        <v>3.1160005137826081E-2</v>
      </c>
      <c r="AC10" s="132">
        <f>COUNT(I5:I7,I37:I38)</f>
        <v>3</v>
      </c>
      <c r="AD10" s="79">
        <f>AVERAGE(J5:J7,J37:J38)</f>
        <v>65.21756439218791</v>
      </c>
      <c r="AE10">
        <f>STDEV(J5:J7,J37:J38)</f>
        <v>106.58378689991704</v>
      </c>
      <c r="AF10" s="132">
        <f>COUNT(J5:J7,J37:J38)</f>
        <v>5</v>
      </c>
      <c r="AG10" s="79">
        <f>AVERAGE(K5:K7,K37:K38)</f>
        <v>54.23365465232024</v>
      </c>
      <c r="AH10">
        <f>STDEV(K5:K7,K37:K38)</f>
        <v>63.187041676550656</v>
      </c>
      <c r="AI10" s="132">
        <f>COUNT(K5:K7,K37:K38)</f>
        <v>5</v>
      </c>
      <c r="AJ10" s="79">
        <f>AVERAGE(L5:L7,L37:L38)</f>
        <v>1.1561866652859381</v>
      </c>
      <c r="AK10">
        <f>STDEV(L5:L7,L37:L38)</f>
        <v>2.0958195303546683</v>
      </c>
      <c r="AL10" s="4">
        <f>COUNT(L5:L7,L37:L38)</f>
        <v>5</v>
      </c>
    </row>
    <row r="11" spans="1:38" x14ac:dyDescent="0.25">
      <c r="B11" s="627" t="s">
        <v>143</v>
      </c>
      <c r="C11" s="638" t="s">
        <v>456</v>
      </c>
      <c r="D11" s="701" t="s">
        <v>490</v>
      </c>
      <c r="E11" s="9">
        <v>1</v>
      </c>
      <c r="F11" s="8">
        <v>1.279053074135315E-2</v>
      </c>
      <c r="G11" s="8">
        <v>2.01267282426143E-2</v>
      </c>
      <c r="H11" s="8">
        <v>3.6001138999341902</v>
      </c>
      <c r="I11" s="8">
        <v>1.2811297170088274E-2</v>
      </c>
      <c r="J11" s="8">
        <v>45.626446846646203</v>
      </c>
      <c r="K11" s="8">
        <v>214.007205925243</v>
      </c>
      <c r="L11" s="9">
        <v>0.43467016766036948</v>
      </c>
      <c r="O11" s="730"/>
      <c r="P11" s="745"/>
      <c r="Q11" s="162">
        <v>6</v>
      </c>
      <c r="R11" s="138">
        <f>AVERAGE(F8:F10,F39:F41)</f>
        <v>1.7761675591434527E-2</v>
      </c>
      <c r="S11" s="162">
        <f>STDEV(F8:F10,F39:F41)</f>
        <v>1.2302650013959963E-2</v>
      </c>
      <c r="T11" s="134">
        <f>COUNT(F8:F10,F39:F41)</f>
        <v>6</v>
      </c>
      <c r="U11" s="138">
        <f>AVERAGE(G8:G10,G39:G41)</f>
        <v>0.23546784117985739</v>
      </c>
      <c r="V11" s="162">
        <f>STDEV(G8:G10,G39:G41)</f>
        <v>9.8134239752310892E-2</v>
      </c>
      <c r="W11" s="134">
        <f>COUNT(G8:G10,G39:G41)</f>
        <v>4</v>
      </c>
      <c r="X11" s="138">
        <f>AVERAGE(H8:H10,H39:H41)</f>
        <v>4.0675370636273493</v>
      </c>
      <c r="Y11" s="162">
        <f>STDEV(H8:H10,H39:H41)</f>
        <v>3.6589143840913425</v>
      </c>
      <c r="Z11" s="134">
        <f>COUNT(H8:H10,H39:H41)</f>
        <v>6</v>
      </c>
      <c r="AA11" s="138">
        <f>AVERAGE(I8:I10,I39:I41)</f>
        <v>2.4823775328140413E-2</v>
      </c>
      <c r="AB11" s="162">
        <f>STDEV(I8:I10,I39:I41)</f>
        <v>1.5164557124953921E-2</v>
      </c>
      <c r="AC11" s="134">
        <f>COUNT(I8:I10,I39:I41)</f>
        <v>6</v>
      </c>
      <c r="AD11" s="138">
        <f>AVERAGE(H57:H62)</f>
        <v>1.6936259308706347</v>
      </c>
      <c r="AE11" s="162">
        <f>STDEV(H57:H62)</f>
        <v>1.506228110461439</v>
      </c>
      <c r="AF11" s="134">
        <f>COUNT(H57:H62)</f>
        <v>5</v>
      </c>
      <c r="AG11" s="138">
        <f>AVERAGE(K8:K10,K39:K41)</f>
        <v>9.5172845014397733</v>
      </c>
      <c r="AH11" s="162">
        <f>STDEV(K8:K10,K39:K41)</f>
        <v>14.134213854870191</v>
      </c>
      <c r="AI11" s="134">
        <f>COUNT(K8:K10,K39:K41)</f>
        <v>6</v>
      </c>
      <c r="AJ11" s="138">
        <f>AVERAGE(J57:J62)</f>
        <v>5.4446908326466349E-2</v>
      </c>
      <c r="AK11" s="162">
        <f>STDEV(J57:J62)</f>
        <v>1.3341196529709136E-2</v>
      </c>
      <c r="AL11" s="165">
        <f>COUNT(J57:J62)</f>
        <v>5</v>
      </c>
    </row>
    <row r="12" spans="1:38" x14ac:dyDescent="0.25">
      <c r="B12" s="628"/>
      <c r="C12" s="696"/>
      <c r="D12" s="669"/>
      <c r="E12" s="4">
        <v>2</v>
      </c>
      <c r="F12">
        <v>2.3073381353631697E-2</v>
      </c>
      <c r="G12">
        <v>0.14477786680454799</v>
      </c>
      <c r="H12">
        <v>4.0048809885391652</v>
      </c>
      <c r="I12">
        <v>0.1006386857234869</v>
      </c>
      <c r="J12">
        <v>153.57707624476299</v>
      </c>
      <c r="K12">
        <v>675.66605861951052</v>
      </c>
      <c r="L12" s="4">
        <v>0.47392469768244549</v>
      </c>
      <c r="O12" s="831" t="s">
        <v>63</v>
      </c>
      <c r="P12" s="675" t="s">
        <v>12</v>
      </c>
      <c r="Q12" s="268">
        <v>2</v>
      </c>
      <c r="R12" s="163">
        <f>AVERAGE(F28:F29)</f>
        <v>1.0703797661614809E-2</v>
      </c>
      <c r="S12" s="268">
        <f>STDEV(F28:F29)</f>
        <v>6.5967575351846032E-3</v>
      </c>
      <c r="T12" s="133">
        <f>COUNT(F28:F29)</f>
        <v>2</v>
      </c>
      <c r="U12" s="163">
        <f>AVERAGE(G28:G29)</f>
        <v>6.0740117373008697E-2</v>
      </c>
      <c r="V12" s="268" t="e">
        <f>STDEV(G28:G29)</f>
        <v>#DIV/0!</v>
      </c>
      <c r="W12" s="133">
        <f>COUNT(G28:G29)</f>
        <v>1</v>
      </c>
      <c r="X12" s="163">
        <f>AVERAGE(H28:H29)</f>
        <v>2.1710657177496024</v>
      </c>
      <c r="Y12" s="268">
        <f>STDEV(H28:H29)</f>
        <v>0.51636321458721923</v>
      </c>
      <c r="Z12" s="133">
        <f>COUNT(H28:H29)</f>
        <v>2</v>
      </c>
      <c r="AA12" s="163">
        <f>AVERAGE(I28:I29)</f>
        <v>2.2068883638423874E-2</v>
      </c>
      <c r="AB12" s="268">
        <f>STDEV(I28:I29)</f>
        <v>2.3392759650749783E-2</v>
      </c>
      <c r="AC12" s="133">
        <f>COUNT(I28:I29)</f>
        <v>2</v>
      </c>
      <c r="AD12" s="163">
        <f>AVERAGE(J28:J29)</f>
        <v>68.129176891541533</v>
      </c>
      <c r="AE12" s="268">
        <f>STDEV(J28:J29)</f>
        <v>14.225754918274465</v>
      </c>
      <c r="AF12" s="133">
        <f>COUNT(J28:J29)</f>
        <v>2</v>
      </c>
      <c r="AG12" s="163">
        <f>AVERAGE(K28:K29)</f>
        <v>212.95920821348275</v>
      </c>
      <c r="AH12" s="268">
        <f>STDEV(K28:K29)</f>
        <v>50.256719354677571</v>
      </c>
      <c r="AI12" s="133">
        <f>COUNT(K28:K29)</f>
        <v>2</v>
      </c>
      <c r="AJ12" s="163">
        <f>AVERAGE(L28:L29)</f>
        <v>0.11363629676517302</v>
      </c>
      <c r="AK12" s="268">
        <f>STDEV(L28:L29)</f>
        <v>6.1256283850354254E-2</v>
      </c>
      <c r="AL12" s="164">
        <f>COUNT(L28:L29)</f>
        <v>2</v>
      </c>
    </row>
    <row r="13" spans="1:38" x14ac:dyDescent="0.25">
      <c r="B13" s="628"/>
      <c r="C13" s="696"/>
      <c r="D13" s="670"/>
      <c r="E13" s="165">
        <v>3</v>
      </c>
      <c r="F13" s="162">
        <v>4.7424281778234599E-3</v>
      </c>
      <c r="G13" s="162">
        <v>0.110494233706825</v>
      </c>
      <c r="H13" s="162">
        <v>3.1201531755080802</v>
      </c>
      <c r="I13" s="162"/>
      <c r="J13" s="162">
        <v>140.85244222652199</v>
      </c>
      <c r="K13" s="162">
        <v>157.197263618992</v>
      </c>
      <c r="L13" s="165">
        <v>0.36974462343445402</v>
      </c>
      <c r="O13" s="628"/>
      <c r="P13" s="666"/>
      <c r="Q13">
        <v>4</v>
      </c>
      <c r="R13" s="79">
        <f>AVERAGE(F30:F31)</f>
        <v>1.199275351835289E-2</v>
      </c>
      <c r="S13">
        <f>STDEV(F30:F31)</f>
        <v>8.7759729923415492E-3</v>
      </c>
      <c r="T13" s="132">
        <f>COUNT(F30:F31)</f>
        <v>2</v>
      </c>
      <c r="U13" s="79">
        <f>AVERAGE(G30:G31)</f>
        <v>0.11378695858072201</v>
      </c>
      <c r="V13" t="e">
        <f>STDEV(G30:G31)</f>
        <v>#DIV/0!</v>
      </c>
      <c r="W13" s="132">
        <f>COUNT(G30:G31)</f>
        <v>1</v>
      </c>
      <c r="X13" s="79">
        <f>AVERAGE(H30:H31)</f>
        <v>1.5909942624289342</v>
      </c>
      <c r="Y13" t="e">
        <f>STDEV(H30:H31)</f>
        <v>#DIV/0!</v>
      </c>
      <c r="Z13" s="132">
        <f>COUNT(H30:H31)</f>
        <v>1</v>
      </c>
      <c r="AA13" s="79">
        <f>AVERAGE(I30:I31)</f>
        <v>5.17864581739748E-2</v>
      </c>
      <c r="AB13">
        <f>STDEV(I30:I31)</f>
        <v>5.4173226994181964E-2</v>
      </c>
      <c r="AC13" s="132">
        <f>COUNT(I30:I31)</f>
        <v>2</v>
      </c>
      <c r="AD13" s="79">
        <f>AVERAGE(J30:J31)</f>
        <v>133.27990386890957</v>
      </c>
      <c r="AE13">
        <f>STDEV(J30:J31)</f>
        <v>78.99052320259176</v>
      </c>
      <c r="AF13" s="132">
        <f>COUNT(J30:J31)</f>
        <v>2</v>
      </c>
      <c r="AG13" s="79">
        <f>AVERAGE(K30:K31)</f>
        <v>62.737874052713202</v>
      </c>
      <c r="AH13">
        <f>STDEV(K30:K31)</f>
        <v>14.080430128297809</v>
      </c>
      <c r="AI13" s="132">
        <f>COUNT(K30:K31)</f>
        <v>2</v>
      </c>
      <c r="AJ13" s="79">
        <f>AVERAGE(L30:L31)</f>
        <v>0.55072823144397742</v>
      </c>
      <c r="AK13">
        <f>STDEV(L30:L31)</f>
        <v>0.52728566611334016</v>
      </c>
      <c r="AL13" s="4">
        <f>COUNT(L30:L31)</f>
        <v>2</v>
      </c>
    </row>
    <row r="14" spans="1:38" x14ac:dyDescent="0.25">
      <c r="B14" s="628"/>
      <c r="C14" s="696"/>
      <c r="D14" s="753" t="s">
        <v>491</v>
      </c>
      <c r="E14" s="4">
        <v>1</v>
      </c>
      <c r="F14">
        <v>2.0514513056676502E-2</v>
      </c>
      <c r="G14">
        <v>2.6065141624502402E-3</v>
      </c>
      <c r="I14">
        <v>8.8356329598860608E-3</v>
      </c>
      <c r="J14">
        <v>22.97522611011415</v>
      </c>
      <c r="K14">
        <v>28.4703445467661</v>
      </c>
      <c r="L14" s="4">
        <v>0.33913038897437353</v>
      </c>
      <c r="O14" s="628"/>
      <c r="P14" s="745"/>
      <c r="Q14" s="162">
        <v>6</v>
      </c>
      <c r="R14" s="138">
        <f>AVERAGE(F32:F34)</f>
        <v>2.6393593230666413E-2</v>
      </c>
      <c r="S14" s="162">
        <f>STDEV(F32:F34)</f>
        <v>7.3160964781177834E-3</v>
      </c>
      <c r="T14" s="134">
        <f>COUNT(F32:F34)</f>
        <v>3</v>
      </c>
      <c r="U14" s="138">
        <f>AVERAGE(G32:G34)</f>
        <v>0.31990436650752668</v>
      </c>
      <c r="V14" s="162">
        <f>STDEV(G32:G34)</f>
        <v>5.6828076286723948E-2</v>
      </c>
      <c r="W14" s="134">
        <f>COUNT(G32:G34)</f>
        <v>3</v>
      </c>
      <c r="X14" s="138">
        <f>AVERAGE(H32:H34)</f>
        <v>6.3158955017099885</v>
      </c>
      <c r="Y14" s="162">
        <f>STDEV(H32:H34)</f>
        <v>0.62040278616369227</v>
      </c>
      <c r="Z14" s="134">
        <f>COUNT(H32:H34)</f>
        <v>3</v>
      </c>
      <c r="AA14" s="138">
        <f>AVERAGE(I32:I34)</f>
        <v>8.609193102179595E-2</v>
      </c>
      <c r="AB14" s="162">
        <f>STDEV(I32:I34)</f>
        <v>4.857551864391825E-2</v>
      </c>
      <c r="AC14" s="134">
        <f>COUNT(I32:I34)</f>
        <v>3</v>
      </c>
      <c r="AD14" s="138">
        <f>AVERAGE(J32:J34)</f>
        <v>0.81216550513651076</v>
      </c>
      <c r="AE14" s="162">
        <f>STDEV(J32:J34)</f>
        <v>6.390196032055892E-2</v>
      </c>
      <c r="AF14" s="134">
        <f>COUNT(J32:J34)</f>
        <v>3</v>
      </c>
      <c r="AG14" s="138">
        <f>AVERAGE(K32:K34)</f>
        <v>0.23924512750377769</v>
      </c>
      <c r="AH14" s="162">
        <f>STDEV(K32:K34)</f>
        <v>6.4431334236956669E-2</v>
      </c>
      <c r="AI14" s="134">
        <f>COUNT(K32:K34)</f>
        <v>3</v>
      </c>
      <c r="AJ14" s="138">
        <f>AVERAGE(L32:L34)</f>
        <v>3.0745431667860548E-2</v>
      </c>
      <c r="AK14" s="162">
        <f>STDEV(L32:L34)</f>
        <v>5.2761660356340206E-3</v>
      </c>
      <c r="AL14" s="165">
        <f>COUNT(L32:L34)</f>
        <v>3</v>
      </c>
    </row>
    <row r="15" spans="1:38" x14ac:dyDescent="0.25">
      <c r="B15" s="628"/>
      <c r="C15" s="696"/>
      <c r="D15" s="669"/>
      <c r="E15" s="4">
        <v>2</v>
      </c>
      <c r="F15">
        <v>1.5113093310749399E-2</v>
      </c>
      <c r="G15">
        <v>0.107198974715705</v>
      </c>
      <c r="J15">
        <v>66.995849216314198</v>
      </c>
      <c r="K15">
        <v>102.33564082896585</v>
      </c>
      <c r="L15" s="4">
        <v>0.41024815869313203</v>
      </c>
      <c r="O15" s="628"/>
      <c r="P15" s="675" t="s">
        <v>219</v>
      </c>
      <c r="Q15" s="268">
        <v>2</v>
      </c>
      <c r="R15" s="163">
        <f>AVERAGE(F20:F21)</f>
        <v>4.8400091341921289E-3</v>
      </c>
      <c r="S15" s="268">
        <f>STDEV(F20:F21)</f>
        <v>6.1137361334608871E-3</v>
      </c>
      <c r="T15" s="133">
        <f>COUNT(F20:F21)</f>
        <v>2</v>
      </c>
      <c r="U15" s="163">
        <f>AVERAGE(G20:G21)</f>
        <v>4.22382852413219E-2</v>
      </c>
      <c r="V15" s="268" t="e">
        <f>STDEV(G20:G21)</f>
        <v>#DIV/0!</v>
      </c>
      <c r="W15" s="133">
        <f>COUNT(G20:G21)</f>
        <v>1</v>
      </c>
      <c r="X15" s="163">
        <f>AVERAGE(H20:H21)</f>
        <v>0.97330401117911203</v>
      </c>
      <c r="Y15" s="268">
        <f>STDEV(H20:H21)</f>
        <v>5.1413908317769097E-2</v>
      </c>
      <c r="Z15" s="133">
        <f>COUNT(H20:H21)</f>
        <v>2</v>
      </c>
      <c r="AA15" s="163">
        <f>AVERAGE(I20:I21)</f>
        <v>1.1150806369989986E-2</v>
      </c>
      <c r="AB15" s="268">
        <f>STDEV(I20:I21)</f>
        <v>1.3587657070123927E-2</v>
      </c>
      <c r="AC15" s="133">
        <f>COUNT(I20:I21)</f>
        <v>2</v>
      </c>
      <c r="AD15" s="163">
        <f>AVERAGE(J20:J21)</f>
        <v>30.063637949613323</v>
      </c>
      <c r="AE15" s="268">
        <f>STDEV(J20:J21)</f>
        <v>21.657982952432807</v>
      </c>
      <c r="AF15" s="133">
        <f>COUNT(J20:J21)</f>
        <v>2</v>
      </c>
      <c r="AG15" s="163">
        <f>AVERAGE(K20:K21)</f>
        <v>179.63367055234107</v>
      </c>
      <c r="AH15" s="268">
        <f>STDEV(K20:K21)</f>
        <v>125.08617353191869</v>
      </c>
      <c r="AI15" s="133">
        <f>COUNT(K20:K21)</f>
        <v>2</v>
      </c>
      <c r="AJ15" s="163">
        <f>AVERAGE(L20:L21)</f>
        <v>0.11443004031903145</v>
      </c>
      <c r="AK15" s="268">
        <f>STDEV(L20:L21)</f>
        <v>0.11269565176793708</v>
      </c>
      <c r="AL15" s="164">
        <f>COUNT(L20:L21)</f>
        <v>2</v>
      </c>
    </row>
    <row r="16" spans="1:38" x14ac:dyDescent="0.25">
      <c r="B16" s="628"/>
      <c r="C16" s="696"/>
      <c r="D16" s="670"/>
      <c r="E16" s="165">
        <v>3</v>
      </c>
      <c r="F16" s="162">
        <v>1.7688545733494751E-2</v>
      </c>
      <c r="G16" s="162">
        <v>5.2304198143549002E-2</v>
      </c>
      <c r="H16" s="162">
        <v>1.2741230097883651</v>
      </c>
      <c r="I16" s="162">
        <v>2.8691044358406456E-3</v>
      </c>
      <c r="J16" s="162">
        <v>77.706175732442006</v>
      </c>
      <c r="K16" s="162">
        <v>30.487290576607847</v>
      </c>
      <c r="L16" s="165">
        <v>0.31641777063481602</v>
      </c>
      <c r="O16" s="628"/>
      <c r="P16" s="666"/>
      <c r="Q16">
        <v>4</v>
      </c>
      <c r="R16" s="79">
        <f>AVERAGE(F22:F24)</f>
        <v>1.6466034503412542E-2</v>
      </c>
      <c r="S16">
        <f>STDEV(F22:F24)</f>
        <v>4.0746132560526864E-3</v>
      </c>
      <c r="T16" s="132">
        <f>COUNT(F22:F24)</f>
        <v>3</v>
      </c>
      <c r="U16" s="79">
        <f>AVERAGE(G22:G24)</f>
        <v>6.800549908849407E-2</v>
      </c>
      <c r="V16">
        <f>STDEV(G22:G24)</f>
        <v>6.6019404817199381E-2</v>
      </c>
      <c r="W16" s="132">
        <f>COUNT(G22:G24)</f>
        <v>3</v>
      </c>
      <c r="X16" s="79">
        <f>AVERAGE(H22:H24)</f>
        <v>1.6162138391826488</v>
      </c>
      <c r="Y16" t="e">
        <f>STDEV(H22:H24)</f>
        <v>#DIV/0!</v>
      </c>
      <c r="Z16" s="132">
        <f>COUNT(H22:H24)</f>
        <v>1</v>
      </c>
      <c r="AA16" s="79">
        <f>AVERAGE(I22:I24)</f>
        <v>4.2228042331463281E-2</v>
      </c>
      <c r="AB16">
        <f>STDEV(I22:I24)</f>
        <v>2.6619965840740799E-2</v>
      </c>
      <c r="AC16" s="132">
        <f>COUNT(I22:I24)</f>
        <v>2</v>
      </c>
      <c r="AD16" s="79">
        <f>AVERAGE(J22:J24)</f>
        <v>34.119138681640237</v>
      </c>
      <c r="AE16">
        <f>STDEV(J22:J24)</f>
        <v>33.515913131439589</v>
      </c>
      <c r="AF16" s="132">
        <f>COUNT(J22:J24)</f>
        <v>3</v>
      </c>
      <c r="AG16" s="79">
        <f>AVERAGE(K22:K24)</f>
        <v>64.744123614600568</v>
      </c>
      <c r="AH16">
        <f>STDEV(K22:K24)</f>
        <v>64.211873257396007</v>
      </c>
      <c r="AI16" s="132">
        <f>COUNT(K22:K24)</f>
        <v>3</v>
      </c>
      <c r="AJ16" s="79">
        <f>AVERAGE(L22:L24)</f>
        <v>0.16714103574574465</v>
      </c>
      <c r="AK16">
        <f>STDEV(L22:L24)</f>
        <v>0.18637438901886716</v>
      </c>
      <c r="AL16" s="4">
        <f>COUNT(L22:L24)</f>
        <v>3</v>
      </c>
    </row>
    <row r="17" spans="2:38" ht="15.75" thickBot="1" x14ac:dyDescent="0.3">
      <c r="B17" s="628"/>
      <c r="C17" s="696"/>
      <c r="D17" s="753" t="s">
        <v>492</v>
      </c>
      <c r="E17" s="4">
        <v>1</v>
      </c>
      <c r="F17">
        <v>1.0714349181636499E-2</v>
      </c>
      <c r="G17">
        <v>0.16291728166609001</v>
      </c>
      <c r="I17">
        <v>8.1694441087368716E-3</v>
      </c>
      <c r="J17">
        <v>66.912901537906748</v>
      </c>
      <c r="K17">
        <v>23.326431863654598</v>
      </c>
      <c r="L17" s="4">
        <v>0.42589698852686952</v>
      </c>
      <c r="O17" s="629"/>
      <c r="P17" s="683"/>
      <c r="Q17" s="6">
        <v>6</v>
      </c>
      <c r="R17" s="82">
        <f>AVERAGE(F25:F27)</f>
        <v>1.0544376027567878E-2</v>
      </c>
      <c r="S17" s="6">
        <f>STDEV(F25:F27)</f>
        <v>9.7625618586119004E-4</v>
      </c>
      <c r="T17" s="203">
        <f>COUNT(F25:F27)</f>
        <v>3</v>
      </c>
      <c r="U17" s="82">
        <f>AVERAGE(G25:G27)</f>
        <v>0.10700561492262514</v>
      </c>
      <c r="V17" s="6">
        <f>STDEV(G25:G27)</f>
        <v>5.5980466135252441E-2</v>
      </c>
      <c r="W17" s="203">
        <f>COUNT(G25:G27)</f>
        <v>2</v>
      </c>
      <c r="X17" s="82">
        <f>AVERAGE(H25:H27)</f>
        <v>1.2147742980534741</v>
      </c>
      <c r="Y17" s="6" t="e">
        <f>STDEV(H25:H27)</f>
        <v>#DIV/0!</v>
      </c>
      <c r="Z17" s="203">
        <f>COUNT(H25:H27)</f>
        <v>1</v>
      </c>
      <c r="AA17" s="82">
        <f>AVERAGE(I25:I27)</f>
        <v>3.5336321552951883E-3</v>
      </c>
      <c r="AB17" s="6">
        <f>STDEV(I25:I27)</f>
        <v>3.0451166187131055E-3</v>
      </c>
      <c r="AC17" s="203">
        <f>COUNT(I25:I27)</f>
        <v>3</v>
      </c>
      <c r="AD17" s="82">
        <f>AVERAGE(J25:J27)</f>
        <v>55.980458877512113</v>
      </c>
      <c r="AE17" s="6">
        <f>STDEV(J25:J27)</f>
        <v>78.021413835677777</v>
      </c>
      <c r="AF17" s="203">
        <f>COUNT(J25:J27)</f>
        <v>3</v>
      </c>
      <c r="AG17" s="82">
        <f>AVERAGE(K25:K27)</f>
        <v>22.330958008902673</v>
      </c>
      <c r="AH17" s="6">
        <f>STDEV(K25:K27)</f>
        <v>26.37430238128637</v>
      </c>
      <c r="AI17" s="203">
        <f>COUNT(K25:K27)</f>
        <v>3</v>
      </c>
      <c r="AJ17" s="82">
        <f>AVERAGE(L25:L27)</f>
        <v>8.4168764616153927E-2</v>
      </c>
      <c r="AK17" s="6">
        <f>STDEV(L25:L27)</f>
        <v>8.8973702848901368E-2</v>
      </c>
      <c r="AL17" s="7">
        <f>COUNT(L25:L27)</f>
        <v>3</v>
      </c>
    </row>
    <row r="18" spans="2:38" x14ac:dyDescent="0.25">
      <c r="B18" s="628"/>
      <c r="C18" s="696"/>
      <c r="D18" s="669"/>
      <c r="E18" s="4">
        <v>2</v>
      </c>
      <c r="F18">
        <v>1.4072661372012595E-2</v>
      </c>
      <c r="H18">
        <v>1.3603820021509601</v>
      </c>
      <c r="I18">
        <v>1.0167972352047356E-2</v>
      </c>
      <c r="J18">
        <v>93.311969342450595</v>
      </c>
      <c r="K18">
        <v>43.3831553290158</v>
      </c>
      <c r="L18" s="4">
        <v>0.42398861287637002</v>
      </c>
    </row>
    <row r="19" spans="2:38" ht="15.75" thickBot="1" x14ac:dyDescent="0.3">
      <c r="B19" s="629"/>
      <c r="C19" s="639"/>
      <c r="D19" s="684"/>
      <c r="E19" s="7">
        <v>3</v>
      </c>
      <c r="F19" s="6">
        <v>9.3934370345760687E-3</v>
      </c>
      <c r="G19" s="6">
        <v>0.140021135830491</v>
      </c>
      <c r="H19" s="6">
        <v>2.07214832309303</v>
      </c>
      <c r="I19" s="6"/>
      <c r="J19" s="6">
        <v>71.819159918906507</v>
      </c>
      <c r="K19" s="6">
        <v>13.7463192644672</v>
      </c>
      <c r="L19" s="7">
        <v>0.18214020426095651</v>
      </c>
      <c r="S19" t="s">
        <v>528</v>
      </c>
      <c r="T19" s="585" t="s">
        <v>680</v>
      </c>
      <c r="U19" s="585" t="s">
        <v>681</v>
      </c>
      <c r="V19" s="585" t="s">
        <v>677</v>
      </c>
      <c r="W19" t="s">
        <v>678</v>
      </c>
      <c r="X19" t="s">
        <v>679</v>
      </c>
      <c r="Y19" t="s">
        <v>682</v>
      </c>
    </row>
    <row r="20" spans="2:38" x14ac:dyDescent="0.25">
      <c r="B20" s="627" t="s">
        <v>144</v>
      </c>
      <c r="C20" s="638" t="s">
        <v>457</v>
      </c>
      <c r="D20" s="701" t="s">
        <v>490</v>
      </c>
      <c r="E20" s="9">
        <v>1</v>
      </c>
      <c r="F20" s="8">
        <v>9.1630734125475455E-3</v>
      </c>
      <c r="G20" s="8"/>
      <c r="H20" s="8">
        <v>0.93694888796031406</v>
      </c>
      <c r="I20" s="8">
        <v>2.0758730824711951E-2</v>
      </c>
      <c r="J20" s="8">
        <v>45.378144562101198</v>
      </c>
      <c r="K20" s="8">
        <v>268.08295208943798</v>
      </c>
      <c r="L20" s="9">
        <v>0.1941178998943775</v>
      </c>
      <c r="O20" s="647" t="s">
        <v>494</v>
      </c>
      <c r="P20" s="627" t="s">
        <v>42</v>
      </c>
      <c r="Q20" s="665" t="s">
        <v>495</v>
      </c>
      <c r="R20" s="202" t="s">
        <v>490</v>
      </c>
      <c r="S20" s="8">
        <f>TTEST(F11:F13,D47:D51,1,2)</f>
        <v>0.49671353084007341</v>
      </c>
      <c r="T20" s="8">
        <f t="shared" ref="T20:Y20" si="0">TTEST(G11:G13,E47:E51,1,2)</f>
        <v>6.8299607705915838E-2</v>
      </c>
      <c r="U20" s="8">
        <f t="shared" si="0"/>
        <v>5.290542909822829E-2</v>
      </c>
      <c r="V20" s="8">
        <f t="shared" si="0"/>
        <v>0.29717817620104386</v>
      </c>
      <c r="W20" s="8">
        <f t="shared" si="0"/>
        <v>0.45156605184986776</v>
      </c>
      <c r="X20" s="8">
        <f t="shared" si="0"/>
        <v>0.31054830781061959</v>
      </c>
      <c r="Y20" s="9">
        <f t="shared" si="0"/>
        <v>0.25517551347528905</v>
      </c>
    </row>
    <row r="21" spans="2:38" x14ac:dyDescent="0.25">
      <c r="B21" s="628"/>
      <c r="C21" s="696"/>
      <c r="D21" s="670"/>
      <c r="E21" s="165">
        <v>2</v>
      </c>
      <c r="F21" s="162">
        <v>5.16944855836713E-4</v>
      </c>
      <c r="G21" s="162">
        <v>4.22382852413219E-2</v>
      </c>
      <c r="H21" s="162">
        <v>1.00965913439791</v>
      </c>
      <c r="I21" s="162">
        <v>1.5428819152680201E-3</v>
      </c>
      <c r="J21" s="162">
        <v>14.749131337125451</v>
      </c>
      <c r="K21" s="162">
        <v>91.184389015244193</v>
      </c>
      <c r="L21" s="165">
        <v>3.4742180743685402E-2</v>
      </c>
      <c r="O21" s="648"/>
      <c r="P21" s="628"/>
      <c r="Q21" s="666"/>
      <c r="R21" s="132" t="s">
        <v>491</v>
      </c>
      <c r="S21">
        <f>TTEST(F14:F16,D52:D56,1,2)</f>
        <v>0.13976834275008895</v>
      </c>
      <c r="T21">
        <f>TTEST(G14:G16,E52:E56,1,2)</f>
        <v>0.2556937884739055</v>
      </c>
      <c r="V21">
        <f t="shared" ref="V21:Y21" si="1">TTEST(I14:I16,G52:G56,1,2)</f>
        <v>0.11342473674377301</v>
      </c>
      <c r="W21">
        <f t="shared" si="1"/>
        <v>0.44507598273241211</v>
      </c>
      <c r="X21">
        <f t="shared" si="1"/>
        <v>0.49568774438308033</v>
      </c>
      <c r="Y21" s="4">
        <f t="shared" si="1"/>
        <v>0.27266671492754402</v>
      </c>
    </row>
    <row r="22" spans="2:38" x14ac:dyDescent="0.25">
      <c r="B22" s="628"/>
      <c r="C22" s="696"/>
      <c r="D22" s="753" t="s">
        <v>491</v>
      </c>
      <c r="E22" s="4">
        <v>1</v>
      </c>
      <c r="F22">
        <v>2.0976107342526123E-2</v>
      </c>
      <c r="G22">
        <v>2.01267282426143E-2</v>
      </c>
      <c r="H22">
        <v>1.6162138391826488</v>
      </c>
      <c r="I22">
        <v>6.1051200692405355E-2</v>
      </c>
      <c r="J22">
        <v>71.692974548992751</v>
      </c>
      <c r="K22">
        <v>137.73112449314951</v>
      </c>
      <c r="L22" s="4">
        <v>0.37930542480989449</v>
      </c>
      <c r="O22" s="648"/>
      <c r="P22" s="628"/>
      <c r="Q22" s="745"/>
      <c r="R22" s="134" t="s">
        <v>492</v>
      </c>
      <c r="S22" s="589">
        <f>TTEST(F17:F19,D57:D62,1,2)</f>
        <v>0.20924334739228106</v>
      </c>
      <c r="T22" s="589">
        <f t="shared" ref="T22:X22" si="2">TTEST(G17:G19,E57:E62,1,2)</f>
        <v>0.15967608805441</v>
      </c>
      <c r="U22" s="589">
        <f t="shared" si="2"/>
        <v>0.21127235283327944</v>
      </c>
      <c r="V22" s="589">
        <f t="shared" si="2"/>
        <v>0.10784396234423506</v>
      </c>
      <c r="W22" s="589">
        <f t="shared" si="2"/>
        <v>7.5314427974862619E-6</v>
      </c>
      <c r="X22" s="589">
        <f t="shared" si="2"/>
        <v>6.6819300126317635E-2</v>
      </c>
      <c r="Y22" s="590">
        <f>TTEST(L17:L19,J57:J62,1,2)</f>
        <v>1.4184086711918331E-3</v>
      </c>
    </row>
    <row r="23" spans="2:38" x14ac:dyDescent="0.25">
      <c r="B23" s="628"/>
      <c r="C23" s="696"/>
      <c r="D23" s="669"/>
      <c r="E23" s="4">
        <v>2</v>
      </c>
      <c r="F23">
        <v>1.30504355367185E-2</v>
      </c>
      <c r="G23">
        <v>0.143318800939258</v>
      </c>
      <c r="J23">
        <v>7.3028012985800652</v>
      </c>
      <c r="K23">
        <v>16.944078862853299</v>
      </c>
      <c r="L23" s="4">
        <v>2.9831979508831589E-2</v>
      </c>
      <c r="O23" s="648"/>
      <c r="P23" s="628"/>
      <c r="Q23" s="675" t="s">
        <v>15</v>
      </c>
      <c r="R23" s="133" t="s">
        <v>496</v>
      </c>
      <c r="S23" s="268">
        <f>TTEST(F11:F13,F14:F16,1,2)</f>
        <v>0.24313606460406262</v>
      </c>
      <c r="T23" s="268">
        <f t="shared" ref="T23:Y23" si="3">TTEST(G11:G13,G14:G16,1,2)</f>
        <v>0.23729490612177551</v>
      </c>
      <c r="U23" s="268"/>
      <c r="V23" s="268">
        <f t="shared" si="3"/>
        <v>0.18359097484428494</v>
      </c>
      <c r="W23" s="268">
        <f t="shared" si="3"/>
        <v>0.10231047001574779</v>
      </c>
      <c r="X23" s="268">
        <f t="shared" si="3"/>
        <v>7.4959010726498174E-2</v>
      </c>
      <c r="Y23" s="164">
        <f t="shared" si="3"/>
        <v>8.1455408339509844E-2</v>
      </c>
    </row>
    <row r="24" spans="2:38" x14ac:dyDescent="0.25">
      <c r="B24" s="628"/>
      <c r="C24" s="696"/>
      <c r="D24" s="670"/>
      <c r="E24" s="165">
        <v>3</v>
      </c>
      <c r="F24" s="162">
        <v>1.5371560630993E-2</v>
      </c>
      <c r="G24" s="162">
        <v>4.0570968083609903E-2</v>
      </c>
      <c r="H24" s="162"/>
      <c r="I24" s="162">
        <v>2.3404883970521199E-2</v>
      </c>
      <c r="J24" s="162">
        <v>23.361640197347899</v>
      </c>
      <c r="K24" s="162">
        <v>39.5571674877989</v>
      </c>
      <c r="L24" s="165">
        <v>9.2285702918507795E-2</v>
      </c>
      <c r="O24" s="648"/>
      <c r="P24" s="628"/>
      <c r="Q24" s="666"/>
      <c r="R24" s="132" t="s">
        <v>497</v>
      </c>
      <c r="S24">
        <f>TTEST(F11:F13,F17:F19,1,2)</f>
        <v>0.35802104252114003</v>
      </c>
      <c r="T24">
        <f t="shared" ref="T24:Y24" si="4">TTEST(G11:G13,G17:G19,1,2)</f>
        <v>0.15415331661128226</v>
      </c>
      <c r="U24">
        <f t="shared" si="4"/>
        <v>1.0952931245155123E-2</v>
      </c>
      <c r="V24">
        <f t="shared" si="4"/>
        <v>0.19606044904580383</v>
      </c>
      <c r="W24">
        <f t="shared" si="4"/>
        <v>0.18095945754460344</v>
      </c>
      <c r="X24">
        <f t="shared" si="4"/>
        <v>6.0820169626513272E-2</v>
      </c>
      <c r="Y24" s="4">
        <f t="shared" si="4"/>
        <v>0.19801072547177384</v>
      </c>
    </row>
    <row r="25" spans="2:38" x14ac:dyDescent="0.25">
      <c r="B25" s="628"/>
      <c r="C25" s="696"/>
      <c r="D25" s="753" t="s">
        <v>492</v>
      </c>
      <c r="E25" s="4">
        <v>1</v>
      </c>
      <c r="F25">
        <v>1.12297934688052E-2</v>
      </c>
      <c r="G25">
        <v>0.146589782140846</v>
      </c>
      <c r="H25">
        <v>1.2147742980534741</v>
      </c>
      <c r="I25">
        <v>6.1903597967977297E-3</v>
      </c>
      <c r="J25">
        <v>145.59580579873801</v>
      </c>
      <c r="K25">
        <v>52.519100514726546</v>
      </c>
      <c r="L25" s="4">
        <v>0.18407799327246049</v>
      </c>
      <c r="O25" s="648"/>
      <c r="P25" s="628"/>
      <c r="Q25" s="745"/>
      <c r="R25" s="134" t="s">
        <v>498</v>
      </c>
      <c r="S25" s="162">
        <f>TTEST(F14:F16,F17:F19,1,2)</f>
        <v>1.9009219313193996E-2</v>
      </c>
      <c r="T25" s="162">
        <f t="shared" ref="T25:Y25" si="5">TTEST(G14:G16,G17:G19,1,2)</f>
        <v>4.6216319002126194E-2</v>
      </c>
      <c r="U25" s="162"/>
      <c r="V25" s="162">
        <f t="shared" si="5"/>
        <v>0.20119379213625871</v>
      </c>
      <c r="W25" s="162">
        <f t="shared" si="5"/>
        <v>0.15652635706368953</v>
      </c>
      <c r="X25" s="162">
        <f t="shared" si="5"/>
        <v>0.17774567597807173</v>
      </c>
      <c r="Y25" s="165">
        <f t="shared" si="5"/>
        <v>0.45093569692881286</v>
      </c>
    </row>
    <row r="26" spans="2:38" x14ac:dyDescent="0.25">
      <c r="B26" s="628"/>
      <c r="C26" s="696"/>
      <c r="D26" s="669"/>
      <c r="E26" s="4">
        <v>2</v>
      </c>
      <c r="F26">
        <v>1.097673397431919E-2</v>
      </c>
      <c r="I26">
        <v>4.2000324561181947E-3</v>
      </c>
      <c r="J26">
        <v>3.1629031419005749</v>
      </c>
      <c r="K26">
        <v>3.7568199268076201</v>
      </c>
      <c r="L26" s="4">
        <v>1.3479413235870263E-2</v>
      </c>
      <c r="O26" s="648"/>
      <c r="P26" s="628"/>
      <c r="Q26" s="675" t="s">
        <v>219</v>
      </c>
      <c r="R26" s="133" t="s">
        <v>496</v>
      </c>
      <c r="S26" s="268">
        <f>TTEST(D47:D51,D52:D56,1,2)</f>
        <v>0.40871633954635611</v>
      </c>
      <c r="T26" s="268">
        <f>TTEST(E47:E51,E52:E56,1,2)</f>
        <v>8.903505167827995E-2</v>
      </c>
      <c r="U26" s="268">
        <f t="shared" ref="U26:Y26" si="6">TTEST(F47:F51,F52:F56,1,2)</f>
        <v>0.35865502104320551</v>
      </c>
      <c r="V26" s="268">
        <f t="shared" si="6"/>
        <v>0.40028049079917988</v>
      </c>
      <c r="W26" s="268">
        <f t="shared" si="6"/>
        <v>0.25193762684160914</v>
      </c>
      <c r="X26" s="268">
        <f t="shared" si="6"/>
        <v>4.1325037557305926E-2</v>
      </c>
      <c r="Y26" s="164">
        <f t="shared" si="6"/>
        <v>0.19340523641072871</v>
      </c>
    </row>
    <row r="27" spans="2:38" ht="15.75" thickBot="1" x14ac:dyDescent="0.3">
      <c r="B27" s="629"/>
      <c r="C27" s="639"/>
      <c r="D27" s="684"/>
      <c r="E27" s="7">
        <v>3</v>
      </c>
      <c r="F27" s="6">
        <v>9.4266006395792405E-3</v>
      </c>
      <c r="G27" s="6">
        <v>6.7421447704404294E-2</v>
      </c>
      <c r="H27" s="6"/>
      <c r="I27" s="6">
        <v>2.10504212969641E-4</v>
      </c>
      <c r="J27" s="6">
        <v>19.182667691897748</v>
      </c>
      <c r="K27" s="6">
        <v>10.716953585173851</v>
      </c>
      <c r="L27" s="7">
        <v>5.494888734013105E-2</v>
      </c>
      <c r="O27" s="648"/>
      <c r="P27" s="628"/>
      <c r="Q27" s="666"/>
      <c r="R27" s="132" t="s">
        <v>497</v>
      </c>
      <c r="S27">
        <f>TTEST(D47:D51,D57:D62,1,2)</f>
        <v>0.26298925052510336</v>
      </c>
      <c r="T27">
        <f t="shared" ref="T27:Y27" si="7">TTEST(E47:E51,E57:E62,1,2)</f>
        <v>7.2470541365459015E-3</v>
      </c>
      <c r="U27">
        <f t="shared" si="7"/>
        <v>0.14054079931155378</v>
      </c>
      <c r="V27">
        <f t="shared" si="7"/>
        <v>0.30332514279250183</v>
      </c>
      <c r="W27">
        <f t="shared" si="7"/>
        <v>6.2768590153050335E-2</v>
      </c>
      <c r="X27">
        <f t="shared" si="7"/>
        <v>1.0622668914515274E-2</v>
      </c>
      <c r="Y27" s="4">
        <f t="shared" si="7"/>
        <v>7.6095035718939885E-2</v>
      </c>
    </row>
    <row r="28" spans="2:38" ht="15.75" thickBot="1" x14ac:dyDescent="0.3">
      <c r="B28" s="627" t="s">
        <v>94</v>
      </c>
      <c r="C28" s="638" t="s">
        <v>459</v>
      </c>
      <c r="D28" s="701" t="s">
        <v>490</v>
      </c>
      <c r="E28" s="9">
        <v>1</v>
      </c>
      <c r="F28" s="8">
        <v>1.5368409648587298E-2</v>
      </c>
      <c r="G28" s="8"/>
      <c r="H28" s="8">
        <v>1.8059417871596941</v>
      </c>
      <c r="I28" s="8">
        <v>3.8610062618136098E-2</v>
      </c>
      <c r="J28" s="8">
        <v>78.18830466175126</v>
      </c>
      <c r="K28" s="8">
        <v>177.42234115760101</v>
      </c>
      <c r="L28" s="9">
        <v>7.0321563064299542E-2</v>
      </c>
      <c r="O28" s="648"/>
      <c r="P28" s="629"/>
      <c r="Q28" s="683"/>
      <c r="R28" s="203" t="s">
        <v>498</v>
      </c>
      <c r="S28" s="6"/>
      <c r="T28" s="6">
        <f>TTEST(E52:E56,E57:E62,1,2)</f>
        <v>4.3798677698676972E-2</v>
      </c>
      <c r="U28" s="6">
        <f t="shared" ref="U28:Y28" si="8">TTEST(F52:F56,F57:F62,1,2)</f>
        <v>0.20825890832836519</v>
      </c>
      <c r="V28" s="6">
        <f t="shared" si="8"/>
        <v>0.15323665662979019</v>
      </c>
      <c r="W28" s="6">
        <f t="shared" si="8"/>
        <v>0.10968990750663861</v>
      </c>
      <c r="X28" s="6">
        <f t="shared" si="8"/>
        <v>6.1609180813451299E-2</v>
      </c>
      <c r="Y28" s="7">
        <f t="shared" si="8"/>
        <v>0.13680629098101657</v>
      </c>
    </row>
    <row r="29" spans="2:38" x14ac:dyDescent="0.25">
      <c r="B29" s="628"/>
      <c r="C29" s="696"/>
      <c r="D29" s="670"/>
      <c r="E29" s="165">
        <v>2</v>
      </c>
      <c r="F29" s="162">
        <v>6.0391856746423202E-3</v>
      </c>
      <c r="G29" s="162">
        <v>6.0740117373008697E-2</v>
      </c>
      <c r="H29" s="162">
        <v>2.5361896483395103</v>
      </c>
      <c r="I29" s="162">
        <v>5.5277046587116499E-3</v>
      </c>
      <c r="J29" s="162">
        <v>58.070049121331799</v>
      </c>
      <c r="K29" s="162">
        <v>248.4960752693645</v>
      </c>
      <c r="L29" s="165">
        <v>0.1569510304660465</v>
      </c>
      <c r="O29" s="648"/>
      <c r="P29" s="627" t="s">
        <v>63</v>
      </c>
      <c r="Q29" s="665" t="s">
        <v>495</v>
      </c>
      <c r="R29" s="202" t="s">
        <v>490</v>
      </c>
      <c r="S29" s="8">
        <f>TTEST(F20:F21,F28:F29,1,2)</f>
        <v>0.22693048923257819</v>
      </c>
      <c r="T29" s="8"/>
      <c r="U29" s="8">
        <f t="shared" ref="U29:Y29" si="9">TTEST(H20:H21,H28:H29,1,2)</f>
        <v>4.1206321072391361E-2</v>
      </c>
      <c r="V29" s="8">
        <f t="shared" si="9"/>
        <v>0.31287206734171019</v>
      </c>
      <c r="W29" s="8">
        <f t="shared" si="9"/>
        <v>8.667614661172518E-2</v>
      </c>
      <c r="X29" s="8">
        <f t="shared" si="9"/>
        <v>0.38000553363633199</v>
      </c>
      <c r="Y29" s="9">
        <f t="shared" si="9"/>
        <v>0.49690597318382024</v>
      </c>
    </row>
    <row r="30" spans="2:38" x14ac:dyDescent="0.25">
      <c r="B30" s="628"/>
      <c r="C30" s="696"/>
      <c r="D30" s="753" t="s">
        <v>491</v>
      </c>
      <c r="E30" s="4">
        <v>1</v>
      </c>
      <c r="F30">
        <v>1.8198303532747599E-2</v>
      </c>
      <c r="I30">
        <v>9.0092714340318999E-2</v>
      </c>
      <c r="J30">
        <v>77.425169262883657</v>
      </c>
      <c r="K30">
        <v>72.694241678455953</v>
      </c>
      <c r="L30" s="4">
        <v>0.92357550157518598</v>
      </c>
      <c r="O30" s="648"/>
      <c r="P30" s="628"/>
      <c r="Q30" s="666"/>
      <c r="R30" s="132" t="s">
        <v>491</v>
      </c>
      <c r="S30">
        <f>TTEST(F22:F24,F30:F31,1,2)</f>
        <v>0.23900278007083919</v>
      </c>
      <c r="V30">
        <f t="shared" ref="V30:Y30" si="10">TTEST(I22:I24,I30:I31,1,2)</f>
        <v>0.42179641821729258</v>
      </c>
      <c r="W30">
        <f t="shared" si="10"/>
        <v>6.6870161939683134E-2</v>
      </c>
      <c r="X30">
        <f t="shared" si="10"/>
        <v>0.48478048112655336</v>
      </c>
      <c r="Y30" s="4">
        <f t="shared" si="10"/>
        <v>0.1524276394230118</v>
      </c>
    </row>
    <row r="31" spans="2:38" x14ac:dyDescent="0.25">
      <c r="B31" s="628"/>
      <c r="C31" s="696"/>
      <c r="D31" s="670"/>
      <c r="E31" s="165">
        <v>2</v>
      </c>
      <c r="F31" s="162">
        <v>5.7872035039581802E-3</v>
      </c>
      <c r="G31" s="162">
        <v>0.11378695858072201</v>
      </c>
      <c r="H31" s="162">
        <v>1.5909942624289342</v>
      </c>
      <c r="I31" s="162">
        <v>1.3480202007630599E-2</v>
      </c>
      <c r="J31" s="162">
        <v>189.13463847493551</v>
      </c>
      <c r="K31" s="162">
        <v>52.781506426970452</v>
      </c>
      <c r="L31" s="165">
        <v>0.17788096131276898</v>
      </c>
      <c r="O31" s="648"/>
      <c r="P31" s="628"/>
      <c r="Q31" s="745"/>
      <c r="R31" s="134" t="s">
        <v>492</v>
      </c>
      <c r="S31" s="589">
        <f>TTEST(F25:F27,F32:F34,1,2)</f>
        <v>1.0243875649617396E-2</v>
      </c>
      <c r="T31" s="589">
        <f t="shared" ref="T31:Y31" si="11">TTEST(G25:G27,G32:G34,1,2)</f>
        <v>1.2922082556495572E-2</v>
      </c>
      <c r="U31" s="589"/>
      <c r="V31" s="589">
        <f t="shared" si="11"/>
        <v>2.1236772912411821E-2</v>
      </c>
      <c r="W31" s="589">
        <f t="shared" si="11"/>
        <v>0.14393655827352478</v>
      </c>
      <c r="X31" s="589">
        <f t="shared" si="11"/>
        <v>0.11022705525167142</v>
      </c>
      <c r="Y31" s="590">
        <f t="shared" si="11"/>
        <v>0.17891275751986888</v>
      </c>
    </row>
    <row r="32" spans="2:38" x14ac:dyDescent="0.25">
      <c r="B32" s="628"/>
      <c r="C32" s="696"/>
      <c r="D32" s="753" t="s">
        <v>492</v>
      </c>
      <c r="E32" s="4">
        <v>1</v>
      </c>
      <c r="F32">
        <v>2.5635434958454648E-2</v>
      </c>
      <c r="G32">
        <v>0.361135452773506</v>
      </c>
      <c r="H32">
        <v>6.5471284915137549</v>
      </c>
      <c r="I32">
        <v>7.4219663321503204E-2</v>
      </c>
      <c r="J32">
        <v>0.74881161681581054</v>
      </c>
      <c r="K32">
        <v>0.19363746234205648</v>
      </c>
      <c r="L32" s="4">
        <v>2.6765629389869001E-2</v>
      </c>
      <c r="O32" s="648"/>
      <c r="P32" s="628"/>
      <c r="Q32" s="675" t="s">
        <v>15</v>
      </c>
      <c r="R32" s="133" t="s">
        <v>496</v>
      </c>
      <c r="S32" s="268">
        <f>TTEST(F28:F29,F30:F31,1,2)</f>
        <v>0.4416985996193793</v>
      </c>
      <c r="T32" s="268"/>
      <c r="U32" s="268"/>
      <c r="V32" s="268">
        <f t="shared" ref="V32:Y32" si="12">TTEST(I28:I29,I30:I31,1,2)</f>
        <v>0.27510149599035005</v>
      </c>
      <c r="W32" s="268">
        <f t="shared" si="12"/>
        <v>0.18488310664944918</v>
      </c>
      <c r="X32" s="268">
        <f t="shared" si="12"/>
        <v>2.7694091605277693E-2</v>
      </c>
      <c r="Y32" s="164">
        <f t="shared" si="12"/>
        <v>0.18217399521674127</v>
      </c>
    </row>
    <row r="33" spans="2:25" x14ac:dyDescent="0.25">
      <c r="B33" s="628"/>
      <c r="C33" s="696"/>
      <c r="D33" s="669"/>
      <c r="E33" s="4">
        <v>2</v>
      </c>
      <c r="F33">
        <v>1.9486098089182398E-2</v>
      </c>
      <c r="G33">
        <v>0.34349774100939001</v>
      </c>
      <c r="H33">
        <v>5.6130838983479947</v>
      </c>
      <c r="I33">
        <v>4.45531456380448E-2</v>
      </c>
      <c r="J33">
        <v>0.87660178626811947</v>
      </c>
      <c r="K33">
        <v>0.31295428878828851</v>
      </c>
      <c r="L33" s="4">
        <v>3.6730180539454899E-2</v>
      </c>
      <c r="O33" s="648"/>
      <c r="P33" s="628"/>
      <c r="Q33" s="666"/>
      <c r="R33" s="132" t="s">
        <v>497</v>
      </c>
      <c r="S33">
        <f>TTEST(F28:F29,F32:F34,1,2)</f>
        <v>4.6829489171962661E-2</v>
      </c>
      <c r="U33">
        <f t="shared" ref="U33:Y33" si="13">TTEST(H28:H29,H32:H34,1,2)</f>
        <v>2.2551626767168703E-3</v>
      </c>
      <c r="V33">
        <f t="shared" si="13"/>
        <v>9.6371185419703576E-2</v>
      </c>
      <c r="W33">
        <f t="shared" si="13"/>
        <v>1.4581476499327863E-3</v>
      </c>
      <c r="X33">
        <f t="shared" si="13"/>
        <v>2.0156795895460771E-3</v>
      </c>
      <c r="Y33" s="4">
        <f t="shared" si="13"/>
        <v>4.2021200418381005E-2</v>
      </c>
    </row>
    <row r="34" spans="2:25" ht="15.75" thickBot="1" x14ac:dyDescent="0.3">
      <c r="B34" s="629"/>
      <c r="C34" s="639"/>
      <c r="D34" s="684"/>
      <c r="E34" s="7">
        <v>3</v>
      </c>
      <c r="F34" s="6">
        <v>3.4059246644362204E-2</v>
      </c>
      <c r="G34" s="6">
        <v>0.25507990573968403</v>
      </c>
      <c r="H34" s="6">
        <v>6.787474115268215</v>
      </c>
      <c r="I34" s="6">
        <v>0.13950298410583981</v>
      </c>
      <c r="J34" s="6">
        <v>0.81108311232560248</v>
      </c>
      <c r="K34" s="6">
        <v>0.21114363138098802</v>
      </c>
      <c r="L34" s="7">
        <v>2.8740485074257749E-2</v>
      </c>
      <c r="O34" s="648"/>
      <c r="P34" s="628"/>
      <c r="Q34" s="745"/>
      <c r="R34" s="134" t="s">
        <v>498</v>
      </c>
      <c r="S34" s="162">
        <f>TTEST(F30:F31,F32:F34,1,2)</f>
        <v>6.8728394902761447E-2</v>
      </c>
      <c r="T34" s="162"/>
      <c r="U34" s="162"/>
      <c r="V34" s="162">
        <f t="shared" ref="V34:Y34" si="14">TTEST(I30:I31,I32:I34,1,2)</f>
        <v>0.2554249779084467</v>
      </c>
      <c r="W34" s="162">
        <f t="shared" si="14"/>
        <v>2.5010549003301075E-2</v>
      </c>
      <c r="X34" s="162">
        <f t="shared" si="14"/>
        <v>1.756444059246813E-3</v>
      </c>
      <c r="Y34" s="165">
        <f t="shared" si="14"/>
        <v>7.9056181290859173E-2</v>
      </c>
    </row>
    <row r="35" spans="2:25" x14ac:dyDescent="0.25">
      <c r="B35" s="627" t="s">
        <v>149</v>
      </c>
      <c r="C35" s="638" t="s">
        <v>461</v>
      </c>
      <c r="D35" s="701" t="s">
        <v>490</v>
      </c>
      <c r="E35" s="9">
        <v>1</v>
      </c>
      <c r="F35" s="8">
        <v>5.775897278636105E-3</v>
      </c>
      <c r="G35" s="8">
        <v>9.7151658185042795E-3</v>
      </c>
      <c r="H35" s="8">
        <v>2.5134511089260001</v>
      </c>
      <c r="I35" s="8">
        <v>1.6128384004504101E-2</v>
      </c>
      <c r="J35" s="8">
        <v>73.937337639655595</v>
      </c>
      <c r="K35" s="8">
        <v>298.72047744414499</v>
      </c>
      <c r="L35" s="9">
        <v>0.12781320141258901</v>
      </c>
      <c r="O35" s="648"/>
      <c r="P35" s="628"/>
      <c r="Q35" s="675" t="s">
        <v>219</v>
      </c>
      <c r="R35" s="133" t="s">
        <v>496</v>
      </c>
      <c r="S35" s="268">
        <f>TTEST(F20:F21,F22:F24,1,2)</f>
        <v>3.9309936510392503E-2</v>
      </c>
      <c r="T35" s="268"/>
      <c r="U35" s="268"/>
      <c r="V35" s="268">
        <f t="shared" ref="V35:Y35" si="15">TTEST(I20:I21,I22:I24,1,2)</f>
        <v>0.13961406311659985</v>
      </c>
      <c r="W35" s="268">
        <f t="shared" si="15"/>
        <v>0.44598943814031167</v>
      </c>
      <c r="X35" s="268">
        <f t="shared" si="15"/>
        <v>0.12663277289429761</v>
      </c>
      <c r="Y35" s="164">
        <f t="shared" si="15"/>
        <v>0.37511018775547789</v>
      </c>
    </row>
    <row r="36" spans="2:25" x14ac:dyDescent="0.25">
      <c r="B36" s="628"/>
      <c r="C36" s="696"/>
      <c r="D36" s="670"/>
      <c r="E36" s="165">
        <v>2</v>
      </c>
      <c r="F36" s="162">
        <v>2.5636638769835001E-2</v>
      </c>
      <c r="G36" s="162">
        <v>2.8656838412654002E-2</v>
      </c>
      <c r="H36" s="162">
        <v>3.3329094781901398</v>
      </c>
      <c r="I36" s="162">
        <v>9.1407240167145201E-2</v>
      </c>
      <c r="J36" s="162">
        <v>413.42291390634546</v>
      </c>
      <c r="K36" s="162">
        <v>619.02157423532253</v>
      </c>
      <c r="L36" s="165">
        <v>0.85006025303039701</v>
      </c>
      <c r="O36" s="648"/>
      <c r="P36" s="628"/>
      <c r="Q36" s="666"/>
      <c r="R36" s="132" t="s">
        <v>497</v>
      </c>
      <c r="S36">
        <f>TTEST(F20:F21,F25:F27,1,2)</f>
        <v>9.1325612337018455E-2</v>
      </c>
      <c r="V36">
        <f t="shared" ref="V36:Y36" si="16">TTEST(I20:I21,I25:I27,1,2)</f>
        <v>0.19263755328694393</v>
      </c>
      <c r="W36">
        <f t="shared" si="16"/>
        <v>0.34572509931891909</v>
      </c>
      <c r="X36">
        <f t="shared" si="16"/>
        <v>5.3146305967059077E-2</v>
      </c>
      <c r="Y36" s="4">
        <f t="shared" si="16"/>
        <v>0.37816535777035376</v>
      </c>
    </row>
    <row r="37" spans="2:25" ht="15.75" thickBot="1" x14ac:dyDescent="0.3">
      <c r="B37" s="628"/>
      <c r="C37" s="696"/>
      <c r="D37" s="753" t="s">
        <v>491</v>
      </c>
      <c r="E37" s="4">
        <v>1</v>
      </c>
      <c r="F37">
        <v>1.58468429064356E-3</v>
      </c>
      <c r="G37">
        <v>0.16291728166609001</v>
      </c>
      <c r="J37">
        <v>48.467490912534799</v>
      </c>
      <c r="K37">
        <v>46.776928851624604</v>
      </c>
      <c r="L37" s="4">
        <v>0.1987740799077905</v>
      </c>
      <c r="O37" s="648"/>
      <c r="P37" s="629"/>
      <c r="Q37" s="683"/>
      <c r="R37" s="203" t="s">
        <v>498</v>
      </c>
      <c r="S37" s="6">
        <f>TTEST(F22:F24,F25:F27,1,2)</f>
        <v>3.5301719436094475E-2</v>
      </c>
      <c r="T37" s="6">
        <f t="shared" ref="T37:Y37" si="17">TTEST(G22:G24,G25:G27,1,2)</f>
        <v>0.27271139373768866</v>
      </c>
      <c r="U37" s="6"/>
      <c r="V37" s="6">
        <f t="shared" si="17"/>
        <v>3.6195595937878376E-2</v>
      </c>
      <c r="W37" s="6">
        <f t="shared" si="17"/>
        <v>0.3393664705699625</v>
      </c>
      <c r="X37" s="6">
        <f t="shared" si="17"/>
        <v>0.1748051090660023</v>
      </c>
      <c r="Y37" s="7">
        <f t="shared" si="17"/>
        <v>0.26241338885633608</v>
      </c>
    </row>
    <row r="38" spans="2:25" x14ac:dyDescent="0.25">
      <c r="B38" s="628"/>
      <c r="C38" s="696"/>
      <c r="D38" s="670"/>
      <c r="E38" s="165">
        <v>2</v>
      </c>
      <c r="F38" s="162">
        <v>1.51141191182843E-2</v>
      </c>
      <c r="G38" s="162">
        <v>9.4684945026572404E-2</v>
      </c>
      <c r="H38" s="162"/>
      <c r="I38" s="162">
        <v>6.7638162397057958E-2</v>
      </c>
      <c r="J38" s="162">
        <v>253.01955121044</v>
      </c>
      <c r="K38" s="162">
        <v>164.44143310799799</v>
      </c>
      <c r="L38" s="165">
        <v>4.8837145941860296</v>
      </c>
      <c r="O38" s="648"/>
      <c r="P38" s="627" t="s">
        <v>499</v>
      </c>
      <c r="Q38" s="665" t="s">
        <v>15</v>
      </c>
      <c r="R38" s="202" t="s">
        <v>490</v>
      </c>
      <c r="S38" s="8">
        <f>TTEST(F11:F13,F28:F29,1,2)</f>
        <v>0.3684229082983641</v>
      </c>
      <c r="T38" s="8"/>
      <c r="U38" s="8">
        <f t="shared" ref="U38:Y38" si="18">TTEST(H11:H13,H28:H29,1,2)</f>
        <v>2.3184579058444198E-2</v>
      </c>
      <c r="V38" s="8">
        <f t="shared" si="18"/>
        <v>0.26854934527793795</v>
      </c>
      <c r="W38" s="8">
        <f t="shared" si="18"/>
        <v>0.19266986389326113</v>
      </c>
      <c r="X38" s="8">
        <f t="shared" si="18"/>
        <v>0.28478986756873786</v>
      </c>
      <c r="Y38" s="9">
        <f t="shared" si="18"/>
        <v>4.3214962510087713E-3</v>
      </c>
    </row>
    <row r="39" spans="2:25" x14ac:dyDescent="0.25">
      <c r="B39" s="628"/>
      <c r="C39" s="696"/>
      <c r="D39" s="753" t="s">
        <v>492</v>
      </c>
      <c r="E39" s="4">
        <v>1</v>
      </c>
      <c r="F39">
        <v>2.3848786850320047E-2</v>
      </c>
      <c r="G39">
        <v>0.23742431753790449</v>
      </c>
      <c r="H39">
        <v>6.3919684809238753</v>
      </c>
      <c r="I39">
        <v>2.2083593892891201E-2</v>
      </c>
      <c r="J39">
        <v>0.54184527253005299</v>
      </c>
      <c r="K39">
        <v>0.81645928521633104</v>
      </c>
      <c r="L39" s="4">
        <v>4.6632892863396398E-2</v>
      </c>
      <c r="O39" s="648"/>
      <c r="P39" s="628"/>
      <c r="Q39" s="666"/>
      <c r="R39" s="132" t="s">
        <v>491</v>
      </c>
      <c r="S39">
        <f>TTEST(F14:F16,F30:F31,1,2)</f>
        <v>0.1675279249950187</v>
      </c>
      <c r="V39">
        <f t="shared" ref="V39:Y39" si="19">TTEST(I14:I16,I30:I31,1,2)</f>
        <v>0.17720744733609611</v>
      </c>
      <c r="W39">
        <f t="shared" si="19"/>
        <v>9.8785450378707632E-2</v>
      </c>
      <c r="X39">
        <f t="shared" si="19"/>
        <v>0.3993820259633224</v>
      </c>
      <c r="Y39" s="4">
        <f t="shared" si="19"/>
        <v>0.26788075264536432</v>
      </c>
    </row>
    <row r="40" spans="2:25" x14ac:dyDescent="0.25">
      <c r="B40" s="628"/>
      <c r="C40" s="696"/>
      <c r="D40" s="669"/>
      <c r="E40" s="4">
        <v>2</v>
      </c>
      <c r="F40">
        <v>3.5596991939442248E-2</v>
      </c>
      <c r="G40">
        <v>0.21316489305755099</v>
      </c>
      <c r="H40">
        <v>6.1208845234541744</v>
      </c>
      <c r="I40">
        <v>4.4534835872768651E-2</v>
      </c>
      <c r="J40">
        <v>0.72682084165392657</v>
      </c>
      <c r="K40">
        <v>0.57704620611347701</v>
      </c>
      <c r="L40" s="4">
        <v>3.792226275458345E-2</v>
      </c>
      <c r="O40" s="648"/>
      <c r="P40" s="628"/>
      <c r="Q40" s="745"/>
      <c r="R40" s="134" t="s">
        <v>492</v>
      </c>
      <c r="S40" s="589">
        <f>TTEST(F17:F19,F32:F34,1,2)</f>
        <v>1.3988322123600745E-2</v>
      </c>
      <c r="T40" s="589">
        <f t="shared" ref="T40:Y40" si="20">TTEST(G17:G19,G32:G34,1,2)</f>
        <v>1.4978129763495641E-2</v>
      </c>
      <c r="U40" s="589">
        <f t="shared" si="20"/>
        <v>1.6371385033024535E-3</v>
      </c>
      <c r="V40" s="589">
        <f t="shared" si="20"/>
        <v>6.1847612665685843E-2</v>
      </c>
      <c r="W40" s="589">
        <f t="shared" si="20"/>
        <v>3.5094844154756762E-4</v>
      </c>
      <c r="X40" s="589">
        <f t="shared" si="20"/>
        <v>1.9126915773939403E-2</v>
      </c>
      <c r="Y40" s="590">
        <f t="shared" si="20"/>
        <v>9.0138751871415498E-3</v>
      </c>
    </row>
    <row r="41" spans="2:25" ht="15.75" thickBot="1" x14ac:dyDescent="0.3">
      <c r="B41" s="629"/>
      <c r="C41" s="639"/>
      <c r="D41" s="684"/>
      <c r="E41" s="7">
        <v>3</v>
      </c>
      <c r="F41" s="6">
        <v>2.564102651775425E-2</v>
      </c>
      <c r="G41" s="6">
        <v>0.364348170961171</v>
      </c>
      <c r="H41" s="6">
        <v>9.2439341889673052</v>
      </c>
      <c r="I41" s="6">
        <v>2.8696143345199848E-2</v>
      </c>
      <c r="J41" s="6">
        <v>1.219381858875455</v>
      </c>
      <c r="K41" s="6">
        <v>0.99090072550427799</v>
      </c>
      <c r="L41" s="7">
        <v>7.3464023548341806E-2</v>
      </c>
      <c r="O41" s="648"/>
      <c r="P41" s="628"/>
      <c r="Q41" s="675" t="s">
        <v>219</v>
      </c>
      <c r="R41" s="133" t="s">
        <v>490</v>
      </c>
      <c r="S41" s="268">
        <f>TTEST(F20:F21,D47:D51,1,2)</f>
        <v>0.12460547158401285</v>
      </c>
      <c r="T41" s="268"/>
      <c r="U41" s="268">
        <f t="shared" ref="U41:Y41" si="21">TTEST(H20:H21,F47:F51,1,2)</f>
        <v>0.14881774644808027</v>
      </c>
      <c r="V41" s="268">
        <f t="shared" si="21"/>
        <v>0.24063971938179002</v>
      </c>
      <c r="W41" s="268">
        <f t="shared" si="21"/>
        <v>0.23337768137510159</v>
      </c>
      <c r="X41" s="268">
        <f t="shared" si="21"/>
        <v>0.33545001885608217</v>
      </c>
      <c r="Y41" s="164">
        <f t="shared" si="21"/>
        <v>0.25954667768211825</v>
      </c>
    </row>
    <row r="42" spans="2:25" x14ac:dyDescent="0.25">
      <c r="O42" s="648"/>
      <c r="P42" s="628"/>
      <c r="Q42" s="666"/>
      <c r="R42" s="132" t="s">
        <v>491</v>
      </c>
      <c r="S42">
        <f>TTEST(F22:F24,D52:D56,1,2)</f>
        <v>0.20828863252895466</v>
      </c>
      <c r="T42">
        <f>TTEST(G22:G24,E52:E56,1,2)</f>
        <v>0.35086351834540985</v>
      </c>
      <c r="V42">
        <f t="shared" ref="V42:Y42" si="22">TTEST(I22:I24,G52:G56,1,2)</f>
        <v>0.48629348821972618</v>
      </c>
      <c r="W42">
        <f t="shared" si="22"/>
        <v>0.32489942432380797</v>
      </c>
      <c r="X42">
        <f t="shared" si="22"/>
        <v>0.41415190222159998</v>
      </c>
      <c r="Y42" s="4">
        <f t="shared" si="22"/>
        <v>0.22983789966035384</v>
      </c>
    </row>
    <row r="43" spans="2:25" ht="15.75" thickBot="1" x14ac:dyDescent="0.3">
      <c r="O43" s="656"/>
      <c r="P43" s="629"/>
      <c r="Q43" s="683"/>
      <c r="R43" s="203" t="s">
        <v>492</v>
      </c>
      <c r="S43" s="591">
        <f>TTEST(F25:F27,D57:D62,1,2)</f>
        <v>0.17977210985532538</v>
      </c>
      <c r="T43" s="591">
        <f t="shared" ref="T43:Y43" si="23">TTEST(G25:G27,E57:E62,1,2)</f>
        <v>8.6349096310148074E-2</v>
      </c>
      <c r="U43" s="591"/>
      <c r="V43" s="591">
        <f t="shared" si="23"/>
        <v>2.6286690705351102E-2</v>
      </c>
      <c r="W43" s="591">
        <f t="shared" si="23"/>
        <v>7.5058635321337927E-2</v>
      </c>
      <c r="X43" s="591">
        <f t="shared" si="23"/>
        <v>0.17970876788601342</v>
      </c>
      <c r="Y43" s="592">
        <f t="shared" si="23"/>
        <v>0.23387566070361959</v>
      </c>
    </row>
    <row r="45" spans="2:25" ht="15.75" thickBot="1" x14ac:dyDescent="0.3"/>
    <row r="46" spans="2:25" ht="15.75" thickBot="1" x14ac:dyDescent="0.3">
      <c r="D46" s="8" t="s">
        <v>528</v>
      </c>
      <c r="E46" s="8" t="s">
        <v>680</v>
      </c>
      <c r="F46" s="8" t="s">
        <v>681</v>
      </c>
      <c r="G46" s="8" t="s">
        <v>677</v>
      </c>
      <c r="H46" s="8" t="s">
        <v>678</v>
      </c>
      <c r="I46" s="8" t="s">
        <v>679</v>
      </c>
      <c r="J46" s="9" t="s">
        <v>682</v>
      </c>
    </row>
    <row r="47" spans="2:25" x14ac:dyDescent="0.25">
      <c r="B47" s="627" t="s">
        <v>149</v>
      </c>
      <c r="C47" s="665" t="s">
        <v>490</v>
      </c>
      <c r="D47" s="8">
        <v>1.7945601105720251E-2</v>
      </c>
      <c r="E47" s="8"/>
      <c r="F47" s="8">
        <v>0.62911691962292005</v>
      </c>
      <c r="G47" s="8">
        <v>1.7452119507223501E-2</v>
      </c>
      <c r="H47" s="8">
        <v>32.942598430799599</v>
      </c>
      <c r="I47" s="8">
        <v>101.1132550491071</v>
      </c>
      <c r="J47" s="9">
        <v>8.3629832215762798E-2</v>
      </c>
    </row>
    <row r="48" spans="2:25" x14ac:dyDescent="0.25">
      <c r="B48" s="628"/>
      <c r="C48" s="666"/>
      <c r="D48">
        <v>6.8124071449362196E-3</v>
      </c>
      <c r="E48">
        <v>2.6983432486636202E-2</v>
      </c>
      <c r="F48">
        <v>3.1193878588598301</v>
      </c>
      <c r="H48">
        <v>83.646173680998544</v>
      </c>
      <c r="I48">
        <v>175.91080319996598</v>
      </c>
      <c r="J48" s="4">
        <v>0.31345682333873048</v>
      </c>
    </row>
    <row r="49" spans="2:10" x14ac:dyDescent="0.25">
      <c r="B49" s="628"/>
      <c r="C49" s="666"/>
      <c r="D49">
        <v>1.1236533092293475E-2</v>
      </c>
      <c r="F49">
        <v>0.82424586736791405</v>
      </c>
      <c r="G49">
        <v>1.0830911635285601E-2</v>
      </c>
      <c r="H49">
        <v>26.3311302026435</v>
      </c>
      <c r="I49">
        <v>88.05259923715559</v>
      </c>
      <c r="J49" s="4">
        <v>6.4025886039728253E-2</v>
      </c>
    </row>
    <row r="50" spans="2:10" x14ac:dyDescent="0.25">
      <c r="B50" s="628"/>
      <c r="C50" s="666"/>
      <c r="D50">
        <v>5.775897278636105E-3</v>
      </c>
      <c r="E50">
        <v>9.7151658185042795E-3</v>
      </c>
      <c r="F50">
        <v>2.5134511089260001</v>
      </c>
      <c r="G50">
        <v>1.6128384004504101E-2</v>
      </c>
      <c r="H50">
        <v>73.937337639655595</v>
      </c>
      <c r="I50">
        <v>298.72047744414499</v>
      </c>
      <c r="J50" s="4">
        <v>0.12781320141258901</v>
      </c>
    </row>
    <row r="51" spans="2:10" x14ac:dyDescent="0.25">
      <c r="B51" s="628"/>
      <c r="C51" s="745"/>
      <c r="D51" s="162">
        <v>2.5636638769835001E-2</v>
      </c>
      <c r="E51" s="162">
        <v>2.8656838412654002E-2</v>
      </c>
      <c r="F51" s="162">
        <v>3.3329094781901398</v>
      </c>
      <c r="G51" s="162">
        <v>9.1407240167145201E-2</v>
      </c>
      <c r="H51" s="162">
        <v>413.42291390634546</v>
      </c>
      <c r="I51" s="162">
        <v>619.02157423532253</v>
      </c>
      <c r="J51" s="165">
        <v>0.85006025303039701</v>
      </c>
    </row>
    <row r="52" spans="2:10" x14ac:dyDescent="0.25">
      <c r="B52" s="628"/>
      <c r="C52" s="675" t="s">
        <v>491</v>
      </c>
      <c r="D52" s="268">
        <v>9.6508859996279686E-3</v>
      </c>
      <c r="E52" s="268">
        <v>1.6676639641625801E-2</v>
      </c>
      <c r="F52" s="268">
        <v>3.0506604196999199</v>
      </c>
      <c r="G52" s="268"/>
      <c r="H52" s="268">
        <v>4.4854272801904695</v>
      </c>
      <c r="I52" s="268">
        <v>16.218878275513902</v>
      </c>
      <c r="J52" s="164">
        <v>7.3073243980093794E-2</v>
      </c>
    </row>
    <row r="53" spans="2:10" x14ac:dyDescent="0.25">
      <c r="B53" s="628"/>
      <c r="C53" s="666"/>
      <c r="D53">
        <v>2.20329408506224E-2</v>
      </c>
      <c r="F53">
        <v>0.18176725866537799</v>
      </c>
      <c r="G53">
        <v>4.91551968217043E-2</v>
      </c>
      <c r="H53">
        <v>17.694570730063852</v>
      </c>
      <c r="I53">
        <v>32.555132862132396</v>
      </c>
      <c r="J53" s="4">
        <v>0.59782801049205103</v>
      </c>
    </row>
    <row r="54" spans="2:10" x14ac:dyDescent="0.25">
      <c r="B54" s="628"/>
      <c r="C54" s="666"/>
      <c r="D54">
        <v>1.30504355367185E-2</v>
      </c>
      <c r="G54">
        <v>6.8542432270828797E-3</v>
      </c>
      <c r="H54">
        <v>2.42078182771044</v>
      </c>
      <c r="I54">
        <v>11.175900164332301</v>
      </c>
      <c r="J54" s="4">
        <v>2.75433978637258E-2</v>
      </c>
    </row>
    <row r="55" spans="2:10" x14ac:dyDescent="0.25">
      <c r="B55" s="628"/>
      <c r="C55" s="666"/>
      <c r="D55">
        <v>1.58468429064356E-3</v>
      </c>
      <c r="E55">
        <v>0.16291728166609001</v>
      </c>
      <c r="H55">
        <v>48.467490912534799</v>
      </c>
      <c r="I55">
        <v>46.776928851624604</v>
      </c>
      <c r="J55" s="4">
        <v>0.1987740799077905</v>
      </c>
    </row>
    <row r="56" spans="2:10" x14ac:dyDescent="0.25">
      <c r="B56" s="628"/>
      <c r="C56" s="745"/>
      <c r="D56" s="162">
        <v>1.51141191182843E-2</v>
      </c>
      <c r="E56" s="162">
        <v>9.4684945026572404E-2</v>
      </c>
      <c r="F56" s="162"/>
      <c r="G56" s="162">
        <v>6.7638162397057958E-2</v>
      </c>
      <c r="H56" s="162">
        <v>253.01955121044</v>
      </c>
      <c r="I56" s="162">
        <v>164.44143310799799</v>
      </c>
      <c r="J56" s="165">
        <v>4.8837145941860296</v>
      </c>
    </row>
    <row r="57" spans="2:10" x14ac:dyDescent="0.25">
      <c r="B57" s="628"/>
      <c r="C57" s="675" t="s">
        <v>492</v>
      </c>
      <c r="D57" s="268">
        <v>8.3902990707945494E-3</v>
      </c>
      <c r="E57" s="268"/>
      <c r="F57" s="268">
        <v>0.62911691962292005</v>
      </c>
      <c r="G57" s="268">
        <v>2.10504212969641E-4</v>
      </c>
      <c r="H57" s="268">
        <v>4.2603343187674447</v>
      </c>
      <c r="I57" s="268">
        <v>11.24252307184385</v>
      </c>
      <c r="J57" s="164">
        <v>5.6103376956050499E-2</v>
      </c>
    </row>
    <row r="58" spans="2:10" x14ac:dyDescent="0.25">
      <c r="B58" s="628"/>
      <c r="C58" s="666"/>
      <c r="D58">
        <v>6.2669947255282058E-3</v>
      </c>
      <c r="E58">
        <v>0.12693398316280299</v>
      </c>
      <c r="F58">
        <v>1.00965913439791</v>
      </c>
      <c r="G58">
        <v>1.87756425361808E-2</v>
      </c>
      <c r="I58">
        <v>37.049517726780294</v>
      </c>
      <c r="J58" s="4"/>
    </row>
    <row r="59" spans="2:10" x14ac:dyDescent="0.25">
      <c r="B59" s="628"/>
      <c r="C59" s="666"/>
      <c r="D59">
        <v>6.8259544447678653E-3</v>
      </c>
      <c r="F59">
        <v>1.00965913439791</v>
      </c>
      <c r="G59">
        <v>3.4641932108832346E-2</v>
      </c>
      <c r="H59">
        <v>1.7197473625262949</v>
      </c>
      <c r="I59">
        <v>6.4272599931804102</v>
      </c>
      <c r="J59" s="4">
        <v>5.8111985509959593E-2</v>
      </c>
    </row>
    <row r="60" spans="2:10" x14ac:dyDescent="0.25">
      <c r="B60" s="628"/>
      <c r="C60" s="666"/>
      <c r="D60">
        <v>2.3848786850320047E-2</v>
      </c>
      <c r="E60">
        <v>0.23742431753790449</v>
      </c>
      <c r="F60">
        <v>6.3919684809238753</v>
      </c>
      <c r="G60">
        <v>2.2083593892891201E-2</v>
      </c>
      <c r="H60">
        <v>0.54184527253005299</v>
      </c>
      <c r="I60">
        <v>0.81645928521633104</v>
      </c>
      <c r="J60" s="4">
        <v>4.6632892863396398E-2</v>
      </c>
    </row>
    <row r="61" spans="2:10" x14ac:dyDescent="0.25">
      <c r="B61" s="628"/>
      <c r="C61" s="666"/>
      <c r="D61">
        <v>3.5596991939442248E-2</v>
      </c>
      <c r="E61">
        <v>0.21316489305755099</v>
      </c>
      <c r="F61">
        <v>6.1208845234541744</v>
      </c>
      <c r="G61">
        <v>4.4534835872768651E-2</v>
      </c>
      <c r="H61">
        <v>0.72682084165392657</v>
      </c>
      <c r="I61">
        <v>0.57704620611347701</v>
      </c>
      <c r="J61" s="4">
        <v>3.792226275458345E-2</v>
      </c>
    </row>
    <row r="62" spans="2:10" ht="15.75" thickBot="1" x14ac:dyDescent="0.3">
      <c r="B62" s="629"/>
      <c r="C62" s="683"/>
      <c r="D62" s="6">
        <v>2.564102651775425E-2</v>
      </c>
      <c r="E62" s="6">
        <v>0.364348170961171</v>
      </c>
      <c r="F62" s="6">
        <v>9.2439341889673052</v>
      </c>
      <c r="G62" s="6">
        <v>2.8696143345199848E-2</v>
      </c>
      <c r="H62" s="6">
        <v>1.219381858875455</v>
      </c>
      <c r="I62" s="6">
        <v>0.99090072550427799</v>
      </c>
      <c r="J62" s="7">
        <v>7.3464023548341806E-2</v>
      </c>
    </row>
  </sheetData>
  <mergeCells count="55">
    <mergeCell ref="O12:O17"/>
    <mergeCell ref="P12:P14"/>
    <mergeCell ref="P15:P17"/>
    <mergeCell ref="O4:Q5"/>
    <mergeCell ref="R4:T4"/>
    <mergeCell ref="AG4:AI4"/>
    <mergeCell ref="AJ4:AL4"/>
    <mergeCell ref="O6:O11"/>
    <mergeCell ref="P6:P8"/>
    <mergeCell ref="P9:P11"/>
    <mergeCell ref="U4:W4"/>
    <mergeCell ref="X4:Z4"/>
    <mergeCell ref="AA4:AC4"/>
    <mergeCell ref="AD4:AF4"/>
    <mergeCell ref="P38:P43"/>
    <mergeCell ref="Q38:Q40"/>
    <mergeCell ref="Q41:Q43"/>
    <mergeCell ref="D39:D41"/>
    <mergeCell ref="D37:D38"/>
    <mergeCell ref="O20:O43"/>
    <mergeCell ref="P20:P28"/>
    <mergeCell ref="Q20:Q22"/>
    <mergeCell ref="Q23:Q25"/>
    <mergeCell ref="Q26:Q28"/>
    <mergeCell ref="P29:P37"/>
    <mergeCell ref="Q29:Q31"/>
    <mergeCell ref="Q32:Q34"/>
    <mergeCell ref="Q35:Q37"/>
    <mergeCell ref="C35:C41"/>
    <mergeCell ref="B35:B41"/>
    <mergeCell ref="B28:B34"/>
    <mergeCell ref="B20:B27"/>
    <mergeCell ref="D32:D34"/>
    <mergeCell ref="D30:D31"/>
    <mergeCell ref="D28:D29"/>
    <mergeCell ref="D25:D27"/>
    <mergeCell ref="D22:D24"/>
    <mergeCell ref="D20:D21"/>
    <mergeCell ref="D35:D36"/>
    <mergeCell ref="D5:D7"/>
    <mergeCell ref="D2:D4"/>
    <mergeCell ref="C2:C10"/>
    <mergeCell ref="B2:B10"/>
    <mergeCell ref="B47:B62"/>
    <mergeCell ref="C57:C62"/>
    <mergeCell ref="C52:C56"/>
    <mergeCell ref="C47:C51"/>
    <mergeCell ref="B11:B19"/>
    <mergeCell ref="C11:C19"/>
    <mergeCell ref="D17:D19"/>
    <mergeCell ref="D14:D16"/>
    <mergeCell ref="D11:D13"/>
    <mergeCell ref="D8:D10"/>
    <mergeCell ref="C20:C27"/>
    <mergeCell ref="C28:C34"/>
  </mergeCells>
  <conditionalFormatting sqref="S20:Y20 S21:T21 V21:Y21 S22:Y22 S23:T23 V23:Y23 S24:Y24 S25:T25 V25:Y25 S26:Y28 U29:Y29 S29:S30 V30:Y32 S31:T31 S32:S36 U33:Y33 V34:Y37 S37:T37 U38:Y38 S38:S39 V39:Y39 S40:Y40 S41 U41:Y41 S42:T43 V42:Y43">
    <cfRule type="cellIs" dxfId="40" priority="1" stopIfTrue="1" operator="lessThan">
      <formula>0.025</formula>
    </cfRule>
    <cfRule type="cellIs" dxfId="39" priority="2" operator="lessThan">
      <formula>0.05</formula>
    </cfRule>
  </conditionalFormatting>
  <hyperlinks>
    <hyperlink ref="A1" location="'Table of Contents'!A1" display="Table of Contents" xr:uid="{865C5B16-0056-4F67-9C4B-B4F70AAAE9D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3D93-DA18-4F60-A719-3699C1F164B1}">
  <dimension ref="A1:G10"/>
  <sheetViews>
    <sheetView workbookViewId="0"/>
  </sheetViews>
  <sheetFormatPr defaultRowHeight="15" x14ac:dyDescent="0.25"/>
  <cols>
    <col min="1" max="1" width="16.85546875" customWidth="1"/>
    <col min="2" max="2" width="12.7109375" customWidth="1"/>
    <col min="3" max="3" width="11.5703125" customWidth="1"/>
  </cols>
  <sheetData>
    <row r="1" spans="1:7" ht="15.75" thickBot="1" x14ac:dyDescent="0.3">
      <c r="A1" s="38" t="s">
        <v>9</v>
      </c>
      <c r="B1" s="87" t="s">
        <v>8</v>
      </c>
      <c r="C1" s="449" t="s">
        <v>10</v>
      </c>
      <c r="D1" s="449" t="s">
        <v>232</v>
      </c>
      <c r="E1" s="449"/>
      <c r="F1" s="449"/>
      <c r="G1" s="441" t="s">
        <v>233</v>
      </c>
    </row>
    <row r="2" spans="1:7" x14ac:dyDescent="0.25">
      <c r="B2" s="80" t="s">
        <v>225</v>
      </c>
      <c r="C2" t="s">
        <v>143</v>
      </c>
      <c r="D2" t="s">
        <v>245</v>
      </c>
      <c r="G2" s="4"/>
    </row>
    <row r="3" spans="1:7" x14ac:dyDescent="0.25">
      <c r="B3" s="80" t="s">
        <v>226</v>
      </c>
      <c r="C3" t="s">
        <v>142</v>
      </c>
      <c r="D3" t="s">
        <v>246</v>
      </c>
      <c r="G3" s="4"/>
    </row>
    <row r="4" spans="1:7" x14ac:dyDescent="0.25">
      <c r="B4" s="80" t="s">
        <v>227</v>
      </c>
      <c r="C4" t="s">
        <v>149</v>
      </c>
      <c r="D4" t="s">
        <v>247</v>
      </c>
      <c r="G4" s="4"/>
    </row>
    <row r="5" spans="1:7" x14ac:dyDescent="0.25">
      <c r="B5" s="80" t="s">
        <v>228</v>
      </c>
      <c r="C5" t="s">
        <v>94</v>
      </c>
      <c r="D5" t="s">
        <v>248</v>
      </c>
      <c r="E5" t="s">
        <v>250</v>
      </c>
      <c r="G5" s="4"/>
    </row>
    <row r="6" spans="1:7" x14ac:dyDescent="0.25">
      <c r="B6" s="80" t="s">
        <v>150</v>
      </c>
      <c r="C6" t="s">
        <v>143</v>
      </c>
      <c r="D6" t="s">
        <v>249</v>
      </c>
      <c r="G6" s="4"/>
    </row>
    <row r="7" spans="1:7" x14ac:dyDescent="0.25">
      <c r="B7" s="80" t="s">
        <v>229</v>
      </c>
      <c r="C7" t="s">
        <v>144</v>
      </c>
      <c r="D7" t="s">
        <v>249</v>
      </c>
      <c r="G7" s="4"/>
    </row>
    <row r="8" spans="1:7" x14ac:dyDescent="0.25">
      <c r="B8" s="80" t="s">
        <v>230</v>
      </c>
      <c r="C8" t="s">
        <v>96</v>
      </c>
      <c r="D8" t="s">
        <v>251</v>
      </c>
      <c r="G8" s="4"/>
    </row>
    <row r="9" spans="1:7" x14ac:dyDescent="0.25">
      <c r="B9" s="80" t="s">
        <v>234</v>
      </c>
      <c r="C9" t="s">
        <v>95</v>
      </c>
      <c r="D9" t="s">
        <v>246</v>
      </c>
      <c r="G9" s="4"/>
    </row>
    <row r="10" spans="1:7" ht="15.75" thickBot="1" x14ac:dyDescent="0.3">
      <c r="B10" s="81" t="s">
        <v>231</v>
      </c>
      <c r="C10" s="6" t="s">
        <v>92</v>
      </c>
      <c r="D10" s="6" t="s">
        <v>250</v>
      </c>
      <c r="E10" s="6"/>
      <c r="F10" s="6"/>
      <c r="G10" s="7"/>
    </row>
  </sheetData>
  <hyperlinks>
    <hyperlink ref="A1" location="'Table of Contents'!A1" display="Table of Contents" xr:uid="{13CCA98F-56CF-4204-B197-83CAB6F437C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6EBD-DF4A-411A-83D7-6B295CD541B5}">
  <dimension ref="A1:Q51"/>
  <sheetViews>
    <sheetView zoomScale="85" zoomScaleNormal="85" workbookViewId="0">
      <selection activeCell="O33" sqref="O33"/>
    </sheetView>
  </sheetViews>
  <sheetFormatPr defaultRowHeight="15" x14ac:dyDescent="0.25"/>
  <cols>
    <col min="1" max="1" width="17" customWidth="1"/>
    <col min="2" max="2" width="25.7109375" customWidth="1"/>
    <col min="3" max="3" width="11.140625" customWidth="1"/>
    <col min="5" max="5" width="10.42578125" customWidth="1"/>
    <col min="6" max="6" width="23.28515625" customWidth="1"/>
    <col min="8" max="8" width="71.140625" customWidth="1"/>
    <col min="9" max="9" width="3.7109375" customWidth="1"/>
    <col min="11" max="11" width="19.42578125" customWidth="1"/>
    <col min="13" max="13" width="11" customWidth="1"/>
    <col min="14" max="14" width="11.5703125" customWidth="1"/>
  </cols>
  <sheetData>
    <row r="1" spans="1:17" ht="15.75" thickBot="1" x14ac:dyDescent="0.3">
      <c r="A1" s="38" t="s">
        <v>9</v>
      </c>
      <c r="B1" s="87" t="s">
        <v>8</v>
      </c>
      <c r="C1" s="449" t="s">
        <v>10</v>
      </c>
      <c r="D1" s="482" t="s">
        <v>258</v>
      </c>
      <c r="E1" s="449" t="s">
        <v>259</v>
      </c>
      <c r="F1" s="449" t="s">
        <v>260</v>
      </c>
      <c r="G1" s="449" t="s">
        <v>261</v>
      </c>
      <c r="H1" s="96" t="s">
        <v>262</v>
      </c>
    </row>
    <row r="2" spans="1:17" ht="15.75" thickBot="1" x14ac:dyDescent="0.3">
      <c r="B2" s="644" t="s">
        <v>225</v>
      </c>
      <c r="C2" s="701" t="s">
        <v>143</v>
      </c>
      <c r="D2" s="202" t="s">
        <v>240</v>
      </c>
      <c r="E2" s="8">
        <v>1441</v>
      </c>
      <c r="F2" s="8">
        <v>2.7000000000000001E-3</v>
      </c>
      <c r="G2" s="8">
        <v>2.8868999999999998</v>
      </c>
      <c r="H2" s="453" t="s">
        <v>264</v>
      </c>
    </row>
    <row r="3" spans="1:17" x14ac:dyDescent="0.25">
      <c r="B3" s="784"/>
      <c r="C3" s="670"/>
      <c r="D3" s="134" t="s">
        <v>236</v>
      </c>
      <c r="E3" s="162">
        <v>2663.25</v>
      </c>
      <c r="F3" s="162">
        <v>3.614E-3</v>
      </c>
      <c r="G3" s="162">
        <v>3.970132</v>
      </c>
      <c r="H3" s="264" t="s">
        <v>283</v>
      </c>
      <c r="K3" s="644" t="s">
        <v>92</v>
      </c>
      <c r="L3" s="375">
        <v>2463.75</v>
      </c>
      <c r="M3" s="8">
        <v>3.7320000000000001E-3</v>
      </c>
      <c r="N3" s="9">
        <v>4.1620359999999996</v>
      </c>
    </row>
    <row r="4" spans="1:17" x14ac:dyDescent="0.25">
      <c r="B4" s="783" t="s">
        <v>226</v>
      </c>
      <c r="C4" s="753" t="s">
        <v>142</v>
      </c>
      <c r="D4" s="132" t="s">
        <v>252</v>
      </c>
      <c r="E4">
        <v>2383</v>
      </c>
      <c r="F4">
        <v>1.9E-3</v>
      </c>
      <c r="G4">
        <v>3.0411000000000001</v>
      </c>
      <c r="H4" s="93" t="s">
        <v>265</v>
      </c>
      <c r="K4" s="645"/>
      <c r="L4" s="80">
        <v>2338.5</v>
      </c>
      <c r="M4">
        <v>3.0720000000000001E-3</v>
      </c>
      <c r="N4" s="4">
        <v>4.2363999999999997</v>
      </c>
    </row>
    <row r="5" spans="1:17" x14ac:dyDescent="0.25">
      <c r="B5" s="645"/>
      <c r="C5" s="669"/>
      <c r="D5" s="132" t="s">
        <v>266</v>
      </c>
      <c r="E5">
        <v>1929</v>
      </c>
      <c r="F5">
        <v>2.3999999999999998E-3</v>
      </c>
      <c r="G5">
        <v>2.8992</v>
      </c>
      <c r="H5" s="93" t="s">
        <v>271</v>
      </c>
      <c r="K5" s="645"/>
      <c r="L5" s="80">
        <v>3056.75</v>
      </c>
      <c r="M5">
        <v>4.6490000000000004E-3</v>
      </c>
      <c r="N5" s="4">
        <v>3.0337960000000002</v>
      </c>
    </row>
    <row r="6" spans="1:17" x14ac:dyDescent="0.25">
      <c r="B6" s="784"/>
      <c r="C6" s="670"/>
      <c r="D6" s="134" t="s">
        <v>276</v>
      </c>
      <c r="E6" s="162">
        <v>3285</v>
      </c>
      <c r="F6" s="162">
        <v>4.8679999999999999E-3</v>
      </c>
      <c r="G6" s="162">
        <v>4.2114799999999999</v>
      </c>
      <c r="H6" s="264" t="s">
        <v>280</v>
      </c>
      <c r="K6" s="645"/>
      <c r="L6" s="80">
        <v>3430</v>
      </c>
      <c r="M6">
        <v>2.5240000000000002E-3</v>
      </c>
      <c r="N6" s="4">
        <v>3.2132127307488392</v>
      </c>
    </row>
    <row r="7" spans="1:17" x14ac:dyDescent="0.25">
      <c r="B7" s="783" t="s">
        <v>227</v>
      </c>
      <c r="C7" s="753" t="s">
        <v>149</v>
      </c>
      <c r="D7" s="132" t="s">
        <v>252</v>
      </c>
      <c r="E7">
        <v>2470</v>
      </c>
      <c r="F7">
        <v>3.5000000000000001E-3</v>
      </c>
      <c r="G7">
        <v>3.6335000000000002</v>
      </c>
      <c r="H7" s="93" t="s">
        <v>263</v>
      </c>
      <c r="K7" s="645"/>
      <c r="L7" s="80">
        <v>3809.333333</v>
      </c>
      <c r="M7">
        <v>2.147E-3</v>
      </c>
      <c r="N7" s="4">
        <v>3.2980116287890029</v>
      </c>
    </row>
    <row r="8" spans="1:17" x14ac:dyDescent="0.25">
      <c r="B8" s="784"/>
      <c r="C8" s="670"/>
      <c r="D8" s="134" t="s">
        <v>267</v>
      </c>
      <c r="E8" s="162">
        <v>2844</v>
      </c>
      <c r="F8" s="162">
        <v>3.686E-3</v>
      </c>
      <c r="G8" s="162">
        <v>4.1332849999999999</v>
      </c>
      <c r="H8" s="264" t="s">
        <v>291</v>
      </c>
      <c r="K8" s="784"/>
      <c r="L8" s="257">
        <v>4673.5</v>
      </c>
      <c r="M8" s="162">
        <v>2.274E-3</v>
      </c>
      <c r="N8" s="165">
        <v>2.7528416207630326</v>
      </c>
      <c r="O8">
        <f>AVERAGE(L3:L8)</f>
        <v>3295.3055555000005</v>
      </c>
      <c r="P8">
        <f>AVERAGE(M3:M8)</f>
        <v>3.0663333333333341E-3</v>
      </c>
      <c r="Q8">
        <f>AVERAGE(N3:N8)</f>
        <v>3.4493829967168126</v>
      </c>
    </row>
    <row r="9" spans="1:17" x14ac:dyDescent="0.25">
      <c r="B9" s="783" t="s">
        <v>228</v>
      </c>
      <c r="C9" s="753" t="s">
        <v>94</v>
      </c>
      <c r="D9" s="132" t="s">
        <v>267</v>
      </c>
      <c r="E9">
        <v>2402.3000000000002</v>
      </c>
      <c r="F9">
        <v>3.2000000000000002E-3</v>
      </c>
      <c r="G9">
        <v>5.3323</v>
      </c>
      <c r="H9" s="93" t="s">
        <v>272</v>
      </c>
      <c r="K9" s="783" t="s">
        <v>292</v>
      </c>
      <c r="L9" s="80">
        <v>2383</v>
      </c>
      <c r="M9">
        <v>1.9E-3</v>
      </c>
      <c r="N9" s="4">
        <v>3.0411000000000001</v>
      </c>
    </row>
    <row r="10" spans="1:17" x14ac:dyDescent="0.25">
      <c r="B10" s="645"/>
      <c r="C10" s="669"/>
      <c r="D10" s="132" t="s">
        <v>270</v>
      </c>
      <c r="E10">
        <v>2592.75</v>
      </c>
      <c r="F10">
        <v>3.2469999999999999E-3</v>
      </c>
      <c r="G10">
        <v>5.3927290000000001</v>
      </c>
      <c r="H10" s="93" t="s">
        <v>288</v>
      </c>
      <c r="K10" s="645"/>
      <c r="L10" s="80">
        <v>1929</v>
      </c>
      <c r="M10">
        <v>2.3999999999999998E-3</v>
      </c>
      <c r="N10" s="4">
        <v>2.8992</v>
      </c>
    </row>
    <row r="11" spans="1:17" x14ac:dyDescent="0.25">
      <c r="B11" s="784"/>
      <c r="C11" s="670"/>
      <c r="D11" s="134" t="s">
        <v>277</v>
      </c>
      <c r="E11" s="162">
        <v>2148.5</v>
      </c>
      <c r="F11" s="162">
        <v>3.137E-3</v>
      </c>
      <c r="G11" s="162">
        <v>4.8734539999999997</v>
      </c>
      <c r="H11" s="264" t="s">
        <v>289</v>
      </c>
      <c r="K11" s="784"/>
      <c r="L11" s="257">
        <v>3285</v>
      </c>
      <c r="M11" s="162">
        <v>4.8679999999999999E-3</v>
      </c>
      <c r="N11" s="165">
        <v>4.2114799999999999</v>
      </c>
      <c r="O11">
        <f>AVERAGE(L9:L11)</f>
        <v>2532.3333333333335</v>
      </c>
      <c r="P11">
        <f>AVERAGE(M9:M11)</f>
        <v>3.0559999999999997E-3</v>
      </c>
      <c r="Q11">
        <f>AVERAGE(N9:N11)</f>
        <v>3.383926666666667</v>
      </c>
    </row>
    <row r="12" spans="1:17" x14ac:dyDescent="0.25">
      <c r="B12" s="783" t="s">
        <v>150</v>
      </c>
      <c r="C12" s="753" t="s">
        <v>143</v>
      </c>
      <c r="D12" s="132" t="s">
        <v>268</v>
      </c>
      <c r="E12">
        <v>2357.6</v>
      </c>
      <c r="F12">
        <v>3.5999999999999999E-3</v>
      </c>
      <c r="G12">
        <v>4.0332999999999997</v>
      </c>
      <c r="H12" s="93" t="s">
        <v>273</v>
      </c>
      <c r="K12" s="783" t="s">
        <v>143</v>
      </c>
      <c r="L12" s="80">
        <v>1441</v>
      </c>
      <c r="M12">
        <v>2.7000000000000001E-3</v>
      </c>
      <c r="N12" s="4">
        <v>2.8868999999999998</v>
      </c>
    </row>
    <row r="13" spans="1:17" x14ac:dyDescent="0.25">
      <c r="B13" s="784"/>
      <c r="C13" s="670"/>
      <c r="D13" s="134" t="s">
        <v>236</v>
      </c>
      <c r="E13" s="162">
        <v>2085.75</v>
      </c>
      <c r="F13" s="162">
        <v>2.9940000000000001E-3</v>
      </c>
      <c r="G13" s="162">
        <v>3.7685949999999995</v>
      </c>
      <c r="H13" s="264" t="s">
        <v>281</v>
      </c>
      <c r="K13" s="645"/>
      <c r="L13" s="80">
        <v>2663.25</v>
      </c>
      <c r="M13">
        <v>3.614E-3</v>
      </c>
      <c r="N13" s="4">
        <v>3.970132</v>
      </c>
    </row>
    <row r="14" spans="1:17" x14ac:dyDescent="0.25">
      <c r="B14" s="783" t="s">
        <v>229</v>
      </c>
      <c r="C14" s="753" t="s">
        <v>144</v>
      </c>
      <c r="D14" s="132" t="s">
        <v>268</v>
      </c>
      <c r="E14">
        <v>2828.333333</v>
      </c>
      <c r="F14">
        <v>3.2910000000000001E-3</v>
      </c>
      <c r="G14">
        <v>4.5020829999999998</v>
      </c>
      <c r="H14" s="93" t="s">
        <v>282</v>
      </c>
      <c r="K14" s="645"/>
      <c r="L14" s="80">
        <v>2357.6</v>
      </c>
      <c r="M14">
        <v>3.5999999999999999E-3</v>
      </c>
      <c r="N14" s="4">
        <v>4.0332999999999997</v>
      </c>
    </row>
    <row r="15" spans="1:17" ht="15" customHeight="1" x14ac:dyDescent="0.25">
      <c r="B15" s="784"/>
      <c r="C15" s="670"/>
      <c r="D15" s="134" t="s">
        <v>277</v>
      </c>
      <c r="E15" s="162">
        <v>3101</v>
      </c>
      <c r="F15" s="162">
        <v>3.3059999999999999E-3</v>
      </c>
      <c r="G15" s="162">
        <v>4.8104180000000003</v>
      </c>
      <c r="H15" s="264" t="s">
        <v>285</v>
      </c>
      <c r="K15" s="784"/>
      <c r="L15" s="80">
        <v>2085.75</v>
      </c>
      <c r="M15">
        <v>2.9940000000000001E-3</v>
      </c>
      <c r="N15" s="4">
        <v>3.7685949999999995</v>
      </c>
      <c r="O15">
        <f>AVERAGE(L12:L15)</f>
        <v>2136.9</v>
      </c>
      <c r="P15">
        <f>AVERAGE(M12:M15)</f>
        <v>3.2269999999999998E-3</v>
      </c>
      <c r="Q15">
        <f>AVERAGE(N12:N15)</f>
        <v>3.6647317500000001</v>
      </c>
    </row>
    <row r="16" spans="1:17" x14ac:dyDescent="0.25">
      <c r="B16" s="783" t="s">
        <v>230</v>
      </c>
      <c r="C16" s="753" t="s">
        <v>96</v>
      </c>
      <c r="D16" s="132" t="s">
        <v>266</v>
      </c>
      <c r="E16">
        <v>1838.7</v>
      </c>
      <c r="F16">
        <v>2.7000000000000001E-3</v>
      </c>
      <c r="G16">
        <v>4.9629000000000003</v>
      </c>
      <c r="H16" s="93" t="s">
        <v>274</v>
      </c>
      <c r="K16" s="783" t="s">
        <v>149</v>
      </c>
      <c r="L16" s="412">
        <v>2470</v>
      </c>
      <c r="M16" s="268">
        <v>3.5000000000000001E-3</v>
      </c>
      <c r="N16" s="164">
        <v>3.6335000000000002</v>
      </c>
    </row>
    <row r="17" spans="2:17" x14ac:dyDescent="0.25">
      <c r="B17" s="645"/>
      <c r="C17" s="669"/>
      <c r="D17" s="132" t="s">
        <v>239</v>
      </c>
      <c r="E17">
        <v>2153.666667</v>
      </c>
      <c r="F17">
        <v>2.7360000000000002E-3</v>
      </c>
      <c r="G17">
        <v>4.415978</v>
      </c>
      <c r="H17" s="93" t="s">
        <v>274</v>
      </c>
      <c r="K17" s="645"/>
      <c r="L17" s="80">
        <v>2844</v>
      </c>
      <c r="M17">
        <v>3.686E-3</v>
      </c>
      <c r="N17" s="4">
        <v>4.1332849999999999</v>
      </c>
    </row>
    <row r="18" spans="2:17" x14ac:dyDescent="0.25">
      <c r="B18" s="784"/>
      <c r="C18" s="670"/>
      <c r="D18" s="134" t="s">
        <v>252</v>
      </c>
      <c r="E18" s="162">
        <v>2715.5</v>
      </c>
      <c r="F18" s="162">
        <v>2.9429999999999999E-3</v>
      </c>
      <c r="G18" s="162">
        <v>4.0659419999999997</v>
      </c>
      <c r="H18" s="264" t="s">
        <v>290</v>
      </c>
      <c r="K18" s="645"/>
      <c r="L18" s="80">
        <v>2830.666667</v>
      </c>
      <c r="M18">
        <v>1.9629999999999999E-3</v>
      </c>
      <c r="N18" s="4">
        <v>3.874602368931888</v>
      </c>
    </row>
    <row r="19" spans="2:17" x14ac:dyDescent="0.25">
      <c r="B19" s="783" t="s">
        <v>234</v>
      </c>
      <c r="C19" s="753" t="s">
        <v>95</v>
      </c>
      <c r="D19" s="132" t="s">
        <v>269</v>
      </c>
      <c r="E19">
        <v>683.2</v>
      </c>
      <c r="F19">
        <v>2.7000000000000001E-3</v>
      </c>
      <c r="G19">
        <v>3.2589999999999999</v>
      </c>
      <c r="H19" s="93" t="s">
        <v>295</v>
      </c>
      <c r="K19" s="645"/>
      <c r="L19" s="80">
        <v>2396.666667</v>
      </c>
      <c r="M19">
        <v>2.601E-3</v>
      </c>
      <c r="N19" s="4">
        <v>3.8112661025992836</v>
      </c>
    </row>
    <row r="20" spans="2:17" x14ac:dyDescent="0.25">
      <c r="B20" s="645"/>
      <c r="C20" s="669"/>
      <c r="D20" s="132" t="s">
        <v>239</v>
      </c>
      <c r="E20">
        <v>1487</v>
      </c>
      <c r="F20">
        <v>3.0000000000000001E-3</v>
      </c>
      <c r="G20">
        <v>4.8406000000000002</v>
      </c>
      <c r="H20" s="93" t="s">
        <v>286</v>
      </c>
      <c r="K20" s="784"/>
      <c r="L20" s="257">
        <v>2777.333333</v>
      </c>
      <c r="M20" s="162">
        <v>2.6419999999999998E-3</v>
      </c>
      <c r="N20" s="165">
        <v>3.4275686199237709</v>
      </c>
      <c r="O20">
        <f>AVERAGE(L16:L20)</f>
        <v>2663.7333334</v>
      </c>
      <c r="P20">
        <f>AVERAGE(M16:M20)</f>
        <v>2.8784000000000001E-3</v>
      </c>
      <c r="Q20">
        <f>AVERAGE(N16:N20)</f>
        <v>3.7760444182909887</v>
      </c>
    </row>
    <row r="21" spans="2:17" x14ac:dyDescent="0.25">
      <c r="B21" s="784"/>
      <c r="C21" s="670"/>
      <c r="D21" s="134" t="s">
        <v>279</v>
      </c>
      <c r="E21" s="162">
        <v>2340</v>
      </c>
      <c r="F21" s="162">
        <v>2.8419999999999999E-3</v>
      </c>
      <c r="G21" s="162">
        <v>4.9018879999999996</v>
      </c>
      <c r="H21" s="264" t="s">
        <v>283</v>
      </c>
      <c r="K21" s="783" t="s">
        <v>95</v>
      </c>
      <c r="L21" s="80">
        <v>1487</v>
      </c>
      <c r="M21">
        <v>3.0000000000000001E-3</v>
      </c>
      <c r="N21" s="4">
        <v>4.8406000000000002</v>
      </c>
    </row>
    <row r="22" spans="2:17" x14ac:dyDescent="0.25">
      <c r="B22" s="783" t="s">
        <v>231</v>
      </c>
      <c r="C22" s="753" t="s">
        <v>92</v>
      </c>
      <c r="D22" s="132" t="s">
        <v>270</v>
      </c>
      <c r="E22">
        <v>2463.75</v>
      </c>
      <c r="F22">
        <v>3.7320000000000001E-3</v>
      </c>
      <c r="G22">
        <v>4.1620359999999996</v>
      </c>
      <c r="H22" s="93" t="s">
        <v>275</v>
      </c>
      <c r="K22" s="645"/>
      <c r="L22" s="80">
        <v>2340</v>
      </c>
      <c r="M22">
        <v>2.8419999999999999E-3</v>
      </c>
      <c r="N22" s="4">
        <v>4.9018879999999996</v>
      </c>
    </row>
    <row r="23" spans="2:17" ht="15" customHeight="1" x14ac:dyDescent="0.25">
      <c r="B23" s="645"/>
      <c r="C23" s="669"/>
      <c r="D23" s="132" t="s">
        <v>268</v>
      </c>
      <c r="E23">
        <v>3004.3</v>
      </c>
      <c r="F23">
        <v>4.0000000000000001E-3</v>
      </c>
      <c r="G23">
        <v>4.2363999999999997</v>
      </c>
      <c r="H23" s="93" t="s">
        <v>284</v>
      </c>
      <c r="K23" s="645"/>
      <c r="L23" s="80">
        <v>3822.666667</v>
      </c>
      <c r="M23">
        <v>2.4719999999999998E-3</v>
      </c>
      <c r="N23" s="4">
        <v>3.3814856895525618</v>
      </c>
    </row>
    <row r="24" spans="2:17" x14ac:dyDescent="0.25">
      <c r="B24" s="645"/>
      <c r="C24" s="669"/>
      <c r="D24" s="134" t="s">
        <v>278</v>
      </c>
      <c r="E24" s="162">
        <v>3056.75</v>
      </c>
      <c r="F24" s="162">
        <v>4.6490000000000004E-3</v>
      </c>
      <c r="G24" s="162">
        <v>3.0337960000000002</v>
      </c>
      <c r="H24" s="93" t="s">
        <v>287</v>
      </c>
      <c r="K24" s="645"/>
      <c r="L24" s="80">
        <v>1739</v>
      </c>
      <c r="M24">
        <v>2.4109999999999999E-3</v>
      </c>
      <c r="N24" s="4">
        <v>3.6469996134180409</v>
      </c>
    </row>
    <row r="25" spans="2:17" x14ac:dyDescent="0.25">
      <c r="B25" s="783" t="s">
        <v>362</v>
      </c>
      <c r="C25" s="753" t="s">
        <v>149</v>
      </c>
      <c r="D25" s="132" t="s">
        <v>240</v>
      </c>
      <c r="E25">
        <v>2830.666667</v>
      </c>
      <c r="F25">
        <v>1.9629999999999999E-3</v>
      </c>
      <c r="G25">
        <v>3.874602368931888</v>
      </c>
      <c r="H25" s="164" t="s">
        <v>284</v>
      </c>
      <c r="K25" s="645"/>
      <c r="L25" s="257">
        <v>1816.333333</v>
      </c>
      <c r="M25" s="162">
        <v>3.1150000000000001E-3</v>
      </c>
      <c r="N25" s="165">
        <v>3.6010860875640094</v>
      </c>
      <c r="O25">
        <f>AVERAGE(L21:L25)</f>
        <v>2241</v>
      </c>
      <c r="P25">
        <f>AVERAGE(M21:M25)</f>
        <v>2.7680000000000001E-3</v>
      </c>
      <c r="Q25">
        <f>AVERAGE(N21:N25)</f>
        <v>4.0744118781069227</v>
      </c>
    </row>
    <row r="26" spans="2:17" x14ac:dyDescent="0.25">
      <c r="B26" s="645"/>
      <c r="C26" s="669"/>
      <c r="D26" s="132" t="s">
        <v>277</v>
      </c>
      <c r="E26">
        <v>2396.666667</v>
      </c>
      <c r="F26">
        <v>2.601E-3</v>
      </c>
      <c r="G26">
        <v>3.8112661025992836</v>
      </c>
      <c r="H26" s="4" t="s">
        <v>365</v>
      </c>
      <c r="K26" s="783" t="s">
        <v>96</v>
      </c>
      <c r="L26" s="80">
        <v>1838.7</v>
      </c>
      <c r="M26">
        <v>2.7000000000000001E-3</v>
      </c>
      <c r="N26" s="4">
        <v>4.9629000000000003</v>
      </c>
    </row>
    <row r="27" spans="2:17" x14ac:dyDescent="0.25">
      <c r="B27" s="645"/>
      <c r="C27" s="669"/>
      <c r="D27" s="132" t="s">
        <v>253</v>
      </c>
      <c r="E27">
        <v>2777.333333</v>
      </c>
      <c r="F27">
        <v>2.6419999999999998E-3</v>
      </c>
      <c r="G27">
        <v>3.4275686199237709</v>
      </c>
      <c r="H27" s="4" t="s">
        <v>366</v>
      </c>
      <c r="K27" s="645"/>
      <c r="L27" s="80">
        <v>2153.666667</v>
      </c>
      <c r="M27">
        <v>2.7360000000000002E-3</v>
      </c>
      <c r="N27" s="4">
        <v>4.415978</v>
      </c>
    </row>
    <row r="28" spans="2:17" x14ac:dyDescent="0.25">
      <c r="B28" s="784"/>
      <c r="C28" s="670"/>
      <c r="D28" s="134" t="s">
        <v>238</v>
      </c>
      <c r="E28" s="162">
        <v>3138</v>
      </c>
      <c r="F28" s="162">
        <v>2.3159999999999999E-3</v>
      </c>
      <c r="G28" s="162">
        <v>4.1244256737249341</v>
      </c>
      <c r="H28" s="165" t="s">
        <v>370</v>
      </c>
      <c r="K28" s="784"/>
      <c r="L28" s="257">
        <v>2715.5</v>
      </c>
      <c r="M28" s="162">
        <v>2.9429999999999999E-3</v>
      </c>
      <c r="N28" s="165">
        <v>4.0659419999999997</v>
      </c>
      <c r="O28">
        <f>AVERAGE(L26:L28)</f>
        <v>2235.9555556666669</v>
      </c>
      <c r="P28">
        <f>AVERAGE(M26:M28)</f>
        <v>2.7929999999999999E-3</v>
      </c>
      <c r="Q28">
        <f>AVERAGE(N26:N28)</f>
        <v>4.481606666666667</v>
      </c>
    </row>
    <row r="29" spans="2:17" ht="14.25" customHeight="1" x14ac:dyDescent="0.25">
      <c r="B29" s="783" t="s">
        <v>362</v>
      </c>
      <c r="C29" s="753" t="s">
        <v>144</v>
      </c>
      <c r="D29" s="133" t="s">
        <v>253</v>
      </c>
      <c r="E29">
        <v>3329</v>
      </c>
      <c r="F29">
        <v>2.5200000000000001E-3</v>
      </c>
      <c r="G29">
        <v>3.61727566206849</v>
      </c>
      <c r="H29" s="164" t="s">
        <v>369</v>
      </c>
      <c r="K29" s="783" t="s">
        <v>94</v>
      </c>
      <c r="L29" s="80">
        <v>2402.3000000000002</v>
      </c>
      <c r="M29">
        <v>3.2000000000000002E-3</v>
      </c>
      <c r="N29" s="4">
        <v>5.3323</v>
      </c>
    </row>
    <row r="30" spans="2:17" ht="15" customHeight="1" x14ac:dyDescent="0.25">
      <c r="B30" s="645"/>
      <c r="C30" s="669"/>
      <c r="D30" s="132" t="s">
        <v>277</v>
      </c>
      <c r="E30">
        <v>4899.3333329999996</v>
      </c>
      <c r="F30">
        <v>4.5149999999999999E-3</v>
      </c>
      <c r="G30">
        <v>3.8557338618259216</v>
      </c>
      <c r="H30" s="4" t="s">
        <v>367</v>
      </c>
      <c r="K30" s="645"/>
      <c r="L30" s="80">
        <v>2592.75</v>
      </c>
      <c r="M30">
        <v>3.2469999999999999E-3</v>
      </c>
      <c r="N30" s="4">
        <v>5.3927290000000001</v>
      </c>
    </row>
    <row r="31" spans="2:17" x14ac:dyDescent="0.25">
      <c r="B31" s="784"/>
      <c r="C31" s="670"/>
      <c r="D31" s="134" t="s">
        <v>325</v>
      </c>
      <c r="E31" s="162">
        <v>4043.666667</v>
      </c>
      <c r="F31" s="162">
        <v>3.741E-3</v>
      </c>
      <c r="G31" s="162">
        <v>3.4006435614355999</v>
      </c>
      <c r="H31" s="165" t="s">
        <v>368</v>
      </c>
      <c r="K31" s="784"/>
      <c r="L31" s="257">
        <v>2148.5</v>
      </c>
      <c r="M31" s="162">
        <v>3.137E-3</v>
      </c>
      <c r="N31" s="165">
        <v>4.8734539999999997</v>
      </c>
      <c r="O31">
        <f>AVERAGE(L29:L31)</f>
        <v>2381.1833333333334</v>
      </c>
      <c r="P31">
        <f>AVERAGE(M29:M31)</f>
        <v>3.1946666666666664E-3</v>
      </c>
      <c r="Q31">
        <f>AVERAGE(N29:N31)</f>
        <v>5.199494333333333</v>
      </c>
    </row>
    <row r="32" spans="2:17" x14ac:dyDescent="0.25">
      <c r="B32" s="783" t="s">
        <v>363</v>
      </c>
      <c r="C32" s="753" t="s">
        <v>95</v>
      </c>
      <c r="D32" s="133" t="s">
        <v>268</v>
      </c>
      <c r="E32">
        <v>3822.666667</v>
      </c>
      <c r="F32">
        <v>2.4719999999999998E-3</v>
      </c>
      <c r="G32">
        <v>3.3814856895525618</v>
      </c>
      <c r="H32" s="164" t="s">
        <v>366</v>
      </c>
      <c r="K32" s="783" t="s">
        <v>144</v>
      </c>
      <c r="L32" s="80">
        <v>2828.333333</v>
      </c>
      <c r="M32">
        <v>3.2910000000000001E-3</v>
      </c>
      <c r="N32" s="4">
        <v>4.5020829999999998</v>
      </c>
    </row>
    <row r="33" spans="2:17" x14ac:dyDescent="0.25">
      <c r="B33" s="645"/>
      <c r="C33" s="669"/>
      <c r="D33" s="132" t="s">
        <v>239</v>
      </c>
      <c r="E33">
        <v>1739</v>
      </c>
      <c r="F33">
        <v>2.4109999999999999E-3</v>
      </c>
      <c r="G33">
        <v>3.6469996134180409</v>
      </c>
      <c r="H33" s="4" t="s">
        <v>371</v>
      </c>
      <c r="K33" s="645"/>
      <c r="L33" s="80">
        <v>3101</v>
      </c>
      <c r="M33">
        <v>3.3059999999999999E-3</v>
      </c>
      <c r="N33" s="4">
        <v>4.8104180000000003</v>
      </c>
    </row>
    <row r="34" spans="2:17" x14ac:dyDescent="0.25">
      <c r="B34" s="784"/>
      <c r="C34" s="670"/>
      <c r="D34" s="134" t="s">
        <v>299</v>
      </c>
      <c r="E34" s="162">
        <v>1816.333333</v>
      </c>
      <c r="F34" s="162">
        <v>3.1150000000000001E-3</v>
      </c>
      <c r="G34" s="162">
        <v>3.6010860875640094</v>
      </c>
      <c r="H34" s="165" t="s">
        <v>372</v>
      </c>
      <c r="K34" s="645"/>
      <c r="L34" s="80">
        <v>3329</v>
      </c>
      <c r="M34">
        <v>2.5200000000000001E-3</v>
      </c>
      <c r="N34" s="4">
        <v>3.61727566206849</v>
      </c>
    </row>
    <row r="35" spans="2:17" x14ac:dyDescent="0.25">
      <c r="B35" s="783" t="s">
        <v>364</v>
      </c>
      <c r="C35" s="753" t="s">
        <v>92</v>
      </c>
      <c r="D35" s="132" t="s">
        <v>268</v>
      </c>
      <c r="E35">
        <v>3430</v>
      </c>
      <c r="F35">
        <v>2.5240000000000002E-3</v>
      </c>
      <c r="G35">
        <v>3.2132127307488392</v>
      </c>
      <c r="H35" s="4" t="s">
        <v>289</v>
      </c>
      <c r="K35" s="645"/>
      <c r="L35" s="80"/>
      <c r="N35" s="4"/>
    </row>
    <row r="36" spans="2:17" ht="15.75" thickBot="1" x14ac:dyDescent="0.3">
      <c r="B36" s="645"/>
      <c r="C36" s="669"/>
      <c r="D36" s="132" t="s">
        <v>253</v>
      </c>
      <c r="E36">
        <v>3809.333333</v>
      </c>
      <c r="F36">
        <v>2.147E-3</v>
      </c>
      <c r="G36">
        <v>3.2980116287890029</v>
      </c>
      <c r="H36" s="4" t="s">
        <v>284</v>
      </c>
      <c r="K36" s="646"/>
      <c r="L36" s="81">
        <v>4043.666667</v>
      </c>
      <c r="M36" s="6">
        <v>3.741E-3</v>
      </c>
      <c r="N36" s="7">
        <v>3.4006435614355999</v>
      </c>
      <c r="O36">
        <f>AVERAGE(L32:L36)</f>
        <v>3325.5</v>
      </c>
      <c r="P36">
        <f>AVERAGE(M32:M36)</f>
        <v>3.2144999999999999E-3</v>
      </c>
      <c r="Q36">
        <f>AVERAGE(N32:N36)</f>
        <v>4.082605055876023</v>
      </c>
    </row>
    <row r="37" spans="2:17" ht="15.75" thickBot="1" x14ac:dyDescent="0.3">
      <c r="B37" s="646"/>
      <c r="C37" s="684"/>
      <c r="D37" s="203" t="s">
        <v>266</v>
      </c>
      <c r="E37" s="6">
        <v>4673.5</v>
      </c>
      <c r="F37" s="6">
        <v>2.274E-3</v>
      </c>
      <c r="G37" s="6">
        <v>2.7528416207630326</v>
      </c>
      <c r="H37" s="7" t="s">
        <v>373</v>
      </c>
    </row>
    <row r="38" spans="2:17" ht="15.75" thickBot="1" x14ac:dyDescent="0.3">
      <c r="H38" t="s">
        <v>164</v>
      </c>
    </row>
    <row r="39" spans="2:17" ht="15.75" thickBot="1" x14ac:dyDescent="0.3">
      <c r="J39" s="689" t="s">
        <v>222</v>
      </c>
      <c r="K39" s="8"/>
      <c r="L39" s="8"/>
      <c r="M39" s="87" t="s">
        <v>259</v>
      </c>
      <c r="N39" s="442" t="s">
        <v>260</v>
      </c>
      <c r="O39" s="441" t="s">
        <v>261</v>
      </c>
    </row>
    <row r="40" spans="2:17" x14ac:dyDescent="0.25">
      <c r="J40" s="690"/>
      <c r="K40" s="638" t="s">
        <v>72</v>
      </c>
      <c r="L40" s="9" t="s">
        <v>64</v>
      </c>
      <c r="M40" s="375">
        <f>TTEST(L3:L8,L9:L11,1,2)</f>
        <v>0.11686136282897204</v>
      </c>
      <c r="N40" s="443">
        <f>TTEST(M3:M8,M9:M11,1,2)</f>
        <v>0.49523673374938459</v>
      </c>
      <c r="O40" s="9">
        <f>TTEST(N3:N8,N9:N11,1,2)</f>
        <v>0.4448591420276492</v>
      </c>
    </row>
    <row r="41" spans="2:17" x14ac:dyDescent="0.25">
      <c r="F41">
        <v>1</v>
      </c>
      <c r="J41" s="690"/>
      <c r="K41" s="696"/>
      <c r="L41" s="4" t="s">
        <v>65</v>
      </c>
      <c r="M41" s="80">
        <f>TTEST(L9:L11,L12:L15,1,2)</f>
        <v>0.21172078914257547</v>
      </c>
      <c r="N41" s="122">
        <f>TTEST(M9:M11,M12:M15,1,2)</f>
        <v>0.42089315710941766</v>
      </c>
      <c r="O41" s="4">
        <f>TTEST(N9:N11,N12:N15,1,2)</f>
        <v>0.28756804876979913</v>
      </c>
    </row>
    <row r="42" spans="2:17" x14ac:dyDescent="0.25">
      <c r="J42" s="690"/>
      <c r="K42" s="696"/>
      <c r="L42" s="4" t="s">
        <v>66</v>
      </c>
      <c r="M42" s="80">
        <f>TTEST(L3:L8,L12:L15,1,2)</f>
        <v>2.3275731710327815E-2</v>
      </c>
      <c r="N42" s="122">
        <f>TTEST(M3:M8,M12:M15,1,2)</f>
        <v>0.38416045629224888</v>
      </c>
      <c r="O42" s="4">
        <f>TTEST(N3:N8,N12:N15,1,2)</f>
        <v>0.29108619974336997</v>
      </c>
    </row>
    <row r="43" spans="2:17" ht="15.75" thickBot="1" x14ac:dyDescent="0.3">
      <c r="J43" s="690"/>
      <c r="K43" s="639"/>
      <c r="L43" s="94" t="s">
        <v>221</v>
      </c>
      <c r="M43" s="81">
        <f>TTEST(L12:L15,L16:L20,1,2)</f>
        <v>3.7856957341025899E-2</v>
      </c>
      <c r="N43" s="123">
        <f>TTEST(M12:M15,M16:M20,1,2)</f>
        <v>0.21230669460378959</v>
      </c>
      <c r="O43" s="7">
        <f>TTEST(N12:N15,N16:N20,1,2)</f>
        <v>0.34567823175487633</v>
      </c>
    </row>
    <row r="44" spans="2:17" x14ac:dyDescent="0.25">
      <c r="J44" s="690"/>
      <c r="K44" s="638" t="s">
        <v>73</v>
      </c>
      <c r="L44" s="9" t="s">
        <v>64</v>
      </c>
      <c r="M44" s="375">
        <f>TTEST(L21:L25,L26:L28,1,2)</f>
        <v>0.49672384753994764</v>
      </c>
      <c r="N44" s="443">
        <f>TTEST(M21:M25,M26:M28,1,2)</f>
        <v>0.45116675157822778</v>
      </c>
      <c r="O44" s="9">
        <f>TTEST(N21:N25,N26:N28,1,2)</f>
        <v>0.21335472585745385</v>
      </c>
    </row>
    <row r="45" spans="2:17" x14ac:dyDescent="0.25">
      <c r="J45" s="690"/>
      <c r="K45" s="696"/>
      <c r="L45" s="4" t="s">
        <v>65</v>
      </c>
      <c r="M45" s="80">
        <f>TTEST(L26:L28,L29:L31,1,2)</f>
        <v>0.31967577212930287</v>
      </c>
      <c r="N45" s="122">
        <f>TTEST(M26:M28,M29:M31,1,2)</f>
        <v>4.0524971461190443E-3</v>
      </c>
      <c r="O45" s="4">
        <f>TTEST(N26:N28,N29:N31,1,2)</f>
        <v>4.0164692576682051E-2</v>
      </c>
    </row>
    <row r="46" spans="2:17" x14ac:dyDescent="0.25">
      <c r="J46" s="690"/>
      <c r="K46" s="696"/>
      <c r="L46" s="4" t="s">
        <v>66</v>
      </c>
      <c r="M46" s="80">
        <f>TTEST(L21:L25,L29:L31,1,2)</f>
        <v>0.40641965761445331</v>
      </c>
      <c r="N46" s="122">
        <f>TTEST(M21:M25,M29:M31,1,2)</f>
        <v>3.2261023219420211E-2</v>
      </c>
      <c r="O46" s="4">
        <f>TTEST(N21:N25,N29:N31,1,2)</f>
        <v>2.398159225860284E-2</v>
      </c>
    </row>
    <row r="47" spans="2:17" ht="15.75" thickBot="1" x14ac:dyDescent="0.3">
      <c r="J47" s="690"/>
      <c r="K47" s="639"/>
      <c r="L47" s="4" t="s">
        <v>221</v>
      </c>
      <c r="M47" s="81">
        <f>TTEST(L29:L31,L32:L36,1,2)</f>
        <v>1.7016243488361681E-2</v>
      </c>
      <c r="N47" s="123">
        <f>TTEST(M29:M31,M32:M36,1,2)</f>
        <v>0.47506120746396452</v>
      </c>
      <c r="O47" s="7">
        <f>TTEST(N29:N31,N32:N36,1,2)</f>
        <v>2.3331637195804451E-2</v>
      </c>
    </row>
    <row r="48" spans="2:17" x14ac:dyDescent="0.25">
      <c r="J48" s="690"/>
      <c r="K48" s="722" t="s">
        <v>220</v>
      </c>
      <c r="L48" s="9" t="s">
        <v>26</v>
      </c>
      <c r="M48" s="80">
        <f>TTEST(L3:L8,L21:L25,1,2)</f>
        <v>4.3137481970762483E-2</v>
      </c>
      <c r="N48" s="122">
        <f>TTEST(M3:M8,M21:M25,1,2)</f>
        <v>0.26477678730179671</v>
      </c>
      <c r="O48" s="4">
        <f>TTEST(N3:N8,N21:N25,1,2)</f>
        <v>7.8495935549144899E-2</v>
      </c>
    </row>
    <row r="49" spans="10:15" x14ac:dyDescent="0.25">
      <c r="J49" s="690"/>
      <c r="K49" s="693"/>
      <c r="L49" s="4" t="s">
        <v>11</v>
      </c>
      <c r="M49" s="80">
        <f>TTEST(L9:L11,L26:L28,1,2)</f>
        <v>0.28280029464420614</v>
      </c>
      <c r="N49" s="122">
        <f>TTEST(M9:M11,M26:M28,1,2)</f>
        <v>0.394646023332478</v>
      </c>
      <c r="O49" s="4">
        <f>TTEST(N9:N11,N26:N28,1,2)</f>
        <v>4.4511561186975697E-2</v>
      </c>
    </row>
    <row r="50" spans="10:15" x14ac:dyDescent="0.25">
      <c r="J50" s="690"/>
      <c r="K50" s="693"/>
      <c r="L50" s="4" t="s">
        <v>12</v>
      </c>
      <c r="M50" s="80">
        <f>TTEST(L12:L15,L29:L31,1,2)</f>
        <v>0.24381521377271492</v>
      </c>
      <c r="N50" s="122">
        <f>TTEST(M12:M15,M29:M31,1,2)</f>
        <v>0.4547482586281994</v>
      </c>
      <c r="O50" s="4">
        <f>TTEST(N12:N15,N29:N31,1,2)</f>
        <v>3.2609877791858542E-3</v>
      </c>
    </row>
    <row r="51" spans="10:15" ht="15.75" thickBot="1" x14ac:dyDescent="0.3">
      <c r="J51" s="691"/>
      <c r="K51" s="723"/>
      <c r="L51" s="7" t="s">
        <v>219</v>
      </c>
      <c r="M51" s="81">
        <f>TTEST(L16:L20,L32:L36,1,2)</f>
        <v>1.7305785330456857E-2</v>
      </c>
      <c r="N51" s="123">
        <f>TTEST(M16:M20,M32:M36,1,2)</f>
        <v>0.22647270153146759</v>
      </c>
      <c r="O51" s="7">
        <f>TTEST(N16:N20,N32:N36,1,2)</f>
        <v>0.19014513903012345</v>
      </c>
    </row>
  </sheetData>
  <mergeCells count="38">
    <mergeCell ref="K3:K8"/>
    <mergeCell ref="C32:C34"/>
    <mergeCell ref="C29:C31"/>
    <mergeCell ref="C25:C28"/>
    <mergeCell ref="C35:C37"/>
    <mergeCell ref="K26:K28"/>
    <mergeCell ref="K16:K20"/>
    <mergeCell ref="K21:K25"/>
    <mergeCell ref="K32:K36"/>
    <mergeCell ref="K9:K11"/>
    <mergeCell ref="C19:C21"/>
    <mergeCell ref="C22:C24"/>
    <mergeCell ref="B35:B37"/>
    <mergeCell ref="B32:B34"/>
    <mergeCell ref="B29:B31"/>
    <mergeCell ref="B25:B28"/>
    <mergeCell ref="J39:J51"/>
    <mergeCell ref="K40:K43"/>
    <mergeCell ref="K44:K47"/>
    <mergeCell ref="K48:K51"/>
    <mergeCell ref="K29:K31"/>
    <mergeCell ref="K12:K15"/>
    <mergeCell ref="B22:B24"/>
    <mergeCell ref="B19:B21"/>
    <mergeCell ref="B16:B18"/>
    <mergeCell ref="C16:C18"/>
    <mergeCell ref="C14:C15"/>
    <mergeCell ref="B14:B15"/>
    <mergeCell ref="B4:B6"/>
    <mergeCell ref="C4:C6"/>
    <mergeCell ref="C2:C3"/>
    <mergeCell ref="B2:B3"/>
    <mergeCell ref="B12:B13"/>
    <mergeCell ref="C12:C13"/>
    <mergeCell ref="C9:C11"/>
    <mergeCell ref="B9:B11"/>
    <mergeCell ref="B7:B8"/>
    <mergeCell ref="C7:C8"/>
  </mergeCells>
  <conditionalFormatting sqref="M40:O51">
    <cfRule type="cellIs" dxfId="38" priority="1" stopIfTrue="1" operator="lessThan">
      <formula>0.025</formula>
    </cfRule>
    <cfRule type="cellIs" dxfId="37" priority="2" operator="lessThan">
      <formula>0.05</formula>
    </cfRule>
  </conditionalFormatting>
  <hyperlinks>
    <hyperlink ref="A1" location="'Table of Contents'!A1" display="Table of Contents" xr:uid="{0EA5C5FB-C7BA-4E91-A854-6C8128D7EB7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85B-089E-48FB-B7C5-A693E3992017}">
  <dimension ref="A1:AD225"/>
  <sheetViews>
    <sheetView topLeftCell="A86" zoomScaleNormal="100" workbookViewId="0">
      <selection activeCell="T35" sqref="B20:T44"/>
    </sheetView>
  </sheetViews>
  <sheetFormatPr defaultRowHeight="15" x14ac:dyDescent="0.25"/>
  <cols>
    <col min="1" max="1" width="17.140625" customWidth="1"/>
    <col min="2" max="2" width="11.42578125" customWidth="1"/>
    <col min="3" max="3" width="10.42578125" customWidth="1"/>
    <col min="7" max="8" width="11.28515625" customWidth="1"/>
    <col min="10" max="10" width="10.42578125" customWidth="1"/>
    <col min="19" max="21" width="12.28515625" customWidth="1"/>
    <col min="22" max="22" width="14.140625" customWidth="1"/>
    <col min="23" max="23" width="12.140625" customWidth="1"/>
    <col min="24" max="24" width="19.42578125" customWidth="1"/>
    <col min="26" max="26" width="11.42578125" customWidth="1"/>
    <col min="28" max="28" width="11.28515625" customWidth="1"/>
    <col min="30" max="30" width="9.85546875" customWidth="1"/>
  </cols>
  <sheetData>
    <row r="1" spans="1:28" x14ac:dyDescent="0.25">
      <c r="A1" s="38" t="s">
        <v>9</v>
      </c>
      <c r="B1" s="644" t="s">
        <v>235</v>
      </c>
      <c r="C1" s="702" t="s">
        <v>10</v>
      </c>
      <c r="D1" s="638" t="s">
        <v>56</v>
      </c>
      <c r="E1" s="701" t="s">
        <v>241</v>
      </c>
      <c r="F1" s="701" t="s">
        <v>237</v>
      </c>
      <c r="G1" s="686" t="s">
        <v>254</v>
      </c>
      <c r="H1" s="687"/>
      <c r="I1" s="688"/>
      <c r="J1" s="686" t="s">
        <v>255</v>
      </c>
      <c r="K1" s="687"/>
      <c r="L1" s="688"/>
      <c r="M1" s="686" t="s">
        <v>256</v>
      </c>
      <c r="N1" s="687"/>
      <c r="O1" s="688"/>
      <c r="P1" s="686" t="s">
        <v>257</v>
      </c>
      <c r="Q1" s="687"/>
      <c r="R1" s="688"/>
      <c r="S1" s="686" t="s">
        <v>302</v>
      </c>
      <c r="T1" s="687"/>
      <c r="U1" s="688"/>
      <c r="Z1" s="448" t="s">
        <v>300</v>
      </c>
    </row>
    <row r="2" spans="1:28" ht="15.75" thickBot="1" x14ac:dyDescent="0.3">
      <c r="B2" s="646"/>
      <c r="C2" s="703"/>
      <c r="D2" s="639"/>
      <c r="E2" s="684"/>
      <c r="F2" s="684"/>
      <c r="G2" s="32" t="s">
        <v>242</v>
      </c>
      <c r="H2" s="33" t="s">
        <v>243</v>
      </c>
      <c r="I2" s="78" t="s">
        <v>244</v>
      </c>
      <c r="J2" s="32" t="s">
        <v>242</v>
      </c>
      <c r="K2" s="33" t="s">
        <v>243</v>
      </c>
      <c r="L2" s="78" t="s">
        <v>244</v>
      </c>
      <c r="M2" s="32" t="s">
        <v>242</v>
      </c>
      <c r="N2" s="33" t="s">
        <v>243</v>
      </c>
      <c r="O2" s="78" t="s">
        <v>244</v>
      </c>
      <c r="P2" s="32" t="s">
        <v>242</v>
      </c>
      <c r="Q2" s="33" t="s">
        <v>243</v>
      </c>
      <c r="R2" s="78" t="s">
        <v>244</v>
      </c>
      <c r="S2" s="32" t="s">
        <v>242</v>
      </c>
      <c r="T2" s="33" t="s">
        <v>243</v>
      </c>
      <c r="U2" s="78" t="s">
        <v>244</v>
      </c>
      <c r="Z2" s="37">
        <f>294.74/1024</f>
        <v>0.28783203125000001</v>
      </c>
    </row>
    <row r="3" spans="1:28" x14ac:dyDescent="0.25">
      <c r="B3" s="647" t="s">
        <v>225</v>
      </c>
      <c r="C3" s="647" t="s">
        <v>143</v>
      </c>
      <c r="D3" s="627" t="s">
        <v>267</v>
      </c>
      <c r="E3" s="701">
        <v>2</v>
      </c>
      <c r="F3" s="9">
        <v>1</v>
      </c>
      <c r="G3" s="8">
        <f>6.3*(294.74/1024)</f>
        <v>1.8133417968750001</v>
      </c>
      <c r="H3" s="837">
        <f>AVERAGE(G3:G6)</f>
        <v>1.8493208007812501</v>
      </c>
      <c r="I3" s="832">
        <f>AVERAGE(H3:H15)</f>
        <v>1.7994299153645834</v>
      </c>
      <c r="J3" s="8">
        <f>104.3*(294.74/1024)</f>
        <v>30.020880859375001</v>
      </c>
      <c r="K3" s="837">
        <f>AVERAGE(J3:J6)</f>
        <v>29.956118652343754</v>
      </c>
      <c r="L3" s="832">
        <f>AVERAGE(K3:K15)</f>
        <v>31.640415755208334</v>
      </c>
      <c r="M3" s="375">
        <v>0.93</v>
      </c>
      <c r="N3" s="837">
        <f>AVERAGE(M3:M6)</f>
        <v>0.9275000000000001</v>
      </c>
      <c r="O3" s="832">
        <f>AVERAGE(N3:N15)</f>
        <v>0.93666666666666665</v>
      </c>
      <c r="P3" s="375">
        <v>96.9</v>
      </c>
      <c r="Q3" s="837">
        <f>AVERAGE(P3:P6)</f>
        <v>92.174999999999997</v>
      </c>
      <c r="R3" s="832">
        <f>AVERAGE(Q3:Q15)</f>
        <v>91.325000000000003</v>
      </c>
      <c r="S3" s="375">
        <v>0.99</v>
      </c>
      <c r="T3" s="837">
        <f>AVERAGE(S3:S6)</f>
        <v>0.99</v>
      </c>
      <c r="U3" s="832">
        <f>AVERAGE(T3:T15)</f>
        <v>0.98</v>
      </c>
    </row>
    <row r="4" spans="1:28" x14ac:dyDescent="0.25">
      <c r="B4" s="648"/>
      <c r="C4" s="648"/>
      <c r="D4" s="628"/>
      <c r="E4" s="669"/>
      <c r="F4" s="4">
        <v>2</v>
      </c>
      <c r="G4">
        <f>6.6*(294.74/1024)</f>
        <v>1.8996914062499999</v>
      </c>
      <c r="H4" s="834"/>
      <c r="I4" s="789"/>
      <c r="J4">
        <f>110.4*(294.74/1024)</f>
        <v>31.776656250000002</v>
      </c>
      <c r="K4" s="834"/>
      <c r="L4" s="789"/>
      <c r="M4" s="80">
        <v>0.93</v>
      </c>
      <c r="N4" s="834"/>
      <c r="O4" s="789"/>
      <c r="P4" s="80">
        <v>87</v>
      </c>
      <c r="Q4" s="834"/>
      <c r="R4" s="789"/>
      <c r="S4" s="80">
        <v>0.99</v>
      </c>
      <c r="T4" s="834"/>
      <c r="U4" s="789"/>
    </row>
    <row r="5" spans="1:28" ht="15.75" thickBot="1" x14ac:dyDescent="0.3">
      <c r="B5" s="648"/>
      <c r="C5" s="648"/>
      <c r="D5" s="628"/>
      <c r="E5" s="669"/>
      <c r="F5" s="4">
        <v>3</v>
      </c>
      <c r="G5">
        <f>6.5*(294.74/1024)</f>
        <v>1.8709082031249999</v>
      </c>
      <c r="H5" s="834"/>
      <c r="I5" s="789"/>
      <c r="J5">
        <f>101.2*(294.74/1024)</f>
        <v>29.128601562500002</v>
      </c>
      <c r="K5" s="834"/>
      <c r="L5" s="789"/>
      <c r="M5" s="80">
        <v>0.92</v>
      </c>
      <c r="N5" s="834"/>
      <c r="O5" s="789"/>
      <c r="P5" s="80">
        <v>86</v>
      </c>
      <c r="Q5" s="834"/>
      <c r="R5" s="789"/>
      <c r="S5" s="80">
        <v>0.99</v>
      </c>
      <c r="T5" s="834"/>
      <c r="U5" s="789"/>
    </row>
    <row r="6" spans="1:28" ht="15.75" thickBot="1" x14ac:dyDescent="0.3">
      <c r="B6" s="648"/>
      <c r="C6" s="648"/>
      <c r="D6" s="628"/>
      <c r="E6" s="670"/>
      <c r="F6" s="165">
        <v>4</v>
      </c>
      <c r="G6" s="162">
        <f>6.3*(294.74/1024)</f>
        <v>1.8133417968750001</v>
      </c>
      <c r="H6" s="836"/>
      <c r="I6" s="789"/>
      <c r="J6" s="162">
        <f>100.4*(294.74/1024)</f>
        <v>28.898335937500004</v>
      </c>
      <c r="K6" s="836"/>
      <c r="L6" s="789"/>
      <c r="M6" s="257">
        <v>0.93</v>
      </c>
      <c r="N6" s="836"/>
      <c r="O6" s="789"/>
      <c r="P6" s="257">
        <v>98.8</v>
      </c>
      <c r="Q6" s="836"/>
      <c r="R6" s="789"/>
      <c r="S6" s="257">
        <v>0.99</v>
      </c>
      <c r="T6" s="836"/>
      <c r="U6" s="789"/>
      <c r="W6" s="450"/>
      <c r="X6" s="87" t="s">
        <v>254</v>
      </c>
      <c r="Y6" s="449" t="s">
        <v>255</v>
      </c>
      <c r="Z6" s="449" t="s">
        <v>301</v>
      </c>
      <c r="AA6" s="449" t="s">
        <v>257</v>
      </c>
      <c r="AB6" s="441" t="s">
        <v>302</v>
      </c>
    </row>
    <row r="7" spans="1:28" x14ac:dyDescent="0.25">
      <c r="B7" s="648"/>
      <c r="C7" s="648"/>
      <c r="D7" s="628"/>
      <c r="E7" s="669">
        <v>3</v>
      </c>
      <c r="F7" s="4">
        <v>1</v>
      </c>
      <c r="G7">
        <f>6.4*(294.74/1024)</f>
        <v>1.8421250000000002</v>
      </c>
      <c r="H7" s="834">
        <f>AVERAGE(G7:G11)</f>
        <v>1.7788019531250001</v>
      </c>
      <c r="I7" s="789"/>
      <c r="J7">
        <f>101.4*(294.74/1024)</f>
        <v>29.186167968750002</v>
      </c>
      <c r="K7" s="834">
        <f>AVERAGE(J7:J11)</f>
        <v>32.461696484374997</v>
      </c>
      <c r="L7" s="789"/>
      <c r="M7" s="80">
        <v>0.93</v>
      </c>
      <c r="N7" s="834">
        <f>AVERAGE(M7:M11)</f>
        <v>0.94000000000000006</v>
      </c>
      <c r="O7" s="789"/>
      <c r="P7" s="80">
        <v>98.7</v>
      </c>
      <c r="Q7" s="834">
        <f>AVERAGE(P7:P11)</f>
        <v>89.4</v>
      </c>
      <c r="R7" s="789"/>
      <c r="S7" s="80">
        <v>0.99</v>
      </c>
      <c r="T7" s="834">
        <f>AVERAGE(S7:S11)</f>
        <v>0.97</v>
      </c>
      <c r="U7" s="789"/>
      <c r="W7" s="648" t="s">
        <v>92</v>
      </c>
      <c r="X7" s="80">
        <f>I199</f>
        <v>1.8747459635416668</v>
      </c>
      <c r="Y7">
        <f>L199</f>
        <v>24.490668098958334</v>
      </c>
      <c r="Z7">
        <f>O199</f>
        <v>0.92200000000000004</v>
      </c>
      <c r="AA7">
        <f>R199</f>
        <v>83.220000000000013</v>
      </c>
      <c r="AB7" s="4">
        <f>U199</f>
        <v>0.97200000000000009</v>
      </c>
    </row>
    <row r="8" spans="1:28" x14ac:dyDescent="0.25">
      <c r="B8" s="648"/>
      <c r="C8" s="648"/>
      <c r="D8" s="628"/>
      <c r="E8" s="669"/>
      <c r="F8" s="4">
        <v>2</v>
      </c>
      <c r="G8">
        <f>6.4*(294.74/1024)</f>
        <v>1.8421250000000002</v>
      </c>
      <c r="H8" s="834"/>
      <c r="I8" s="789"/>
      <c r="J8">
        <f>109.7*(294.74/1024)</f>
        <v>31.575173828125003</v>
      </c>
      <c r="K8" s="834"/>
      <c r="L8" s="789"/>
      <c r="M8" s="80">
        <v>0.93</v>
      </c>
      <c r="N8" s="834"/>
      <c r="O8" s="789"/>
      <c r="P8" s="80">
        <v>92.5</v>
      </c>
      <c r="Q8" s="834"/>
      <c r="R8" s="789"/>
      <c r="S8" s="80">
        <v>0.99</v>
      </c>
      <c r="T8" s="834"/>
      <c r="U8" s="789"/>
      <c r="W8" s="648"/>
      <c r="X8" s="80">
        <f>I214</f>
        <v>1.8517194010416667</v>
      </c>
      <c r="Y8">
        <f>L214</f>
        <v>37.518905273437497</v>
      </c>
      <c r="Z8">
        <f>O214</f>
        <v>0.94666666666666666</v>
      </c>
      <c r="AA8">
        <f>R214</f>
        <v>91.8</v>
      </c>
      <c r="AB8" s="4">
        <f>U214</f>
        <v>0.98833333333333329</v>
      </c>
    </row>
    <row r="9" spans="1:28" x14ac:dyDescent="0.25">
      <c r="B9" s="648"/>
      <c r="C9" s="648"/>
      <c r="D9" s="628"/>
      <c r="E9" s="669"/>
      <c r="F9" s="4">
        <v>3</v>
      </c>
      <c r="G9">
        <f>5.9*(294.74/1024)</f>
        <v>1.6982089843750001</v>
      </c>
      <c r="H9" s="834"/>
      <c r="I9" s="789"/>
      <c r="J9">
        <f>149.1*(294.74/1024)</f>
        <v>42.915755859374997</v>
      </c>
      <c r="K9" s="834"/>
      <c r="L9" s="789"/>
      <c r="M9" s="80">
        <v>0.96</v>
      </c>
      <c r="N9" s="834"/>
      <c r="O9" s="789"/>
      <c r="P9" s="80">
        <v>98.4</v>
      </c>
      <c r="Q9" s="834"/>
      <c r="R9" s="789"/>
      <c r="S9" s="80">
        <v>0.99</v>
      </c>
      <c r="T9" s="834"/>
      <c r="U9" s="789"/>
      <c r="W9" s="838"/>
      <c r="X9" s="257">
        <f>I220</f>
        <v>1.8996914062499999</v>
      </c>
      <c r="Y9" s="162">
        <f>L220</f>
        <v>25.588267578124999</v>
      </c>
      <c r="Z9" s="162">
        <f>O220</f>
        <v>0.92499999999999993</v>
      </c>
      <c r="AA9" s="162">
        <f>R220</f>
        <v>84.966666666666654</v>
      </c>
      <c r="AB9" s="165">
        <f>U220</f>
        <v>0.98333333333333339</v>
      </c>
    </row>
    <row r="10" spans="1:28" x14ac:dyDescent="0.25">
      <c r="B10" s="648"/>
      <c r="C10" s="648"/>
      <c r="D10" s="628"/>
      <c r="E10" s="669"/>
      <c r="F10" s="4">
        <v>4</v>
      </c>
      <c r="G10">
        <f>6.1*(294.74/1024)</f>
        <v>1.755775390625</v>
      </c>
      <c r="H10" s="834"/>
      <c r="I10" s="789"/>
      <c r="J10">
        <f>108.1*(294.74/1024)</f>
        <v>31.114642578125</v>
      </c>
      <c r="K10" s="834"/>
      <c r="L10" s="789"/>
      <c r="M10" s="80">
        <v>0.95</v>
      </c>
      <c r="N10" s="834"/>
      <c r="O10" s="789"/>
      <c r="P10" s="80">
        <v>80</v>
      </c>
      <c r="Q10" s="834"/>
      <c r="R10" s="789"/>
      <c r="S10" s="80">
        <v>0.98</v>
      </c>
      <c r="T10" s="834"/>
      <c r="U10" s="789"/>
      <c r="W10" s="782" t="s">
        <v>292</v>
      </c>
      <c r="X10" s="80">
        <f>I20</f>
        <v>1.7436224826388891</v>
      </c>
      <c r="Y10">
        <f>L20</f>
        <v>44.485399869791671</v>
      </c>
      <c r="Z10">
        <f>O20</f>
        <v>0.95044444444444443</v>
      </c>
      <c r="AA10">
        <f>R20</f>
        <v>86.793333333333337</v>
      </c>
      <c r="AB10" s="4">
        <f>U20</f>
        <v>0.99622222222222234</v>
      </c>
    </row>
    <row r="11" spans="1:28" x14ac:dyDescent="0.25">
      <c r="B11" s="648"/>
      <c r="C11" s="648"/>
      <c r="D11" s="628"/>
      <c r="E11" s="670"/>
      <c r="F11" s="165">
        <v>5</v>
      </c>
      <c r="G11" s="162">
        <f>6.1*(294.74/1024)</f>
        <v>1.755775390625</v>
      </c>
      <c r="H11" s="836"/>
      <c r="I11" s="789"/>
      <c r="J11" s="162">
        <f>95.6*(294.74/1024)</f>
        <v>27.5167421875</v>
      </c>
      <c r="K11" s="836"/>
      <c r="L11" s="789"/>
      <c r="M11" s="257">
        <v>0.93</v>
      </c>
      <c r="N11" s="836"/>
      <c r="O11" s="789"/>
      <c r="P11" s="257">
        <v>77.400000000000006</v>
      </c>
      <c r="Q11" s="836"/>
      <c r="R11" s="789"/>
      <c r="S11" s="257">
        <v>0.9</v>
      </c>
      <c r="T11" s="836"/>
      <c r="U11" s="789"/>
      <c r="W11" s="648"/>
      <c r="X11" s="80">
        <f>I33</f>
        <v>1.8181389973958335</v>
      </c>
      <c r="Y11">
        <f>L33</f>
        <v>31.978138671875001</v>
      </c>
      <c r="Z11">
        <f>O33</f>
        <v>0.93666666666666665</v>
      </c>
      <c r="AA11">
        <f>R33</f>
        <v>97.716666666666654</v>
      </c>
      <c r="AB11" s="4">
        <f>U33</f>
        <v>0.98833333333333329</v>
      </c>
    </row>
    <row r="12" spans="1:28" x14ac:dyDescent="0.25">
      <c r="B12" s="648"/>
      <c r="C12" s="648"/>
      <c r="D12" s="628"/>
      <c r="E12" s="669">
        <v>4</v>
      </c>
      <c r="F12" s="4">
        <v>1</v>
      </c>
      <c r="G12">
        <f>6.3*(294.74/1024)</f>
        <v>1.8133417968750001</v>
      </c>
      <c r="H12" s="834">
        <f>AVERAGE(G12:G15)</f>
        <v>1.7701669921874998</v>
      </c>
      <c r="I12" s="789"/>
      <c r="J12">
        <f>99.9*(294.74/1024)</f>
        <v>28.754419921875002</v>
      </c>
      <c r="K12" s="834">
        <f>AVERAGE(J12:J15)</f>
        <v>32.503432128906255</v>
      </c>
      <c r="L12" s="789"/>
      <c r="M12" s="80">
        <v>0.94</v>
      </c>
      <c r="N12" s="834">
        <f>AVERAGE(M12:M15)</f>
        <v>0.94249999999999989</v>
      </c>
      <c r="O12" s="789"/>
      <c r="P12" s="80">
        <v>77.400000000000006</v>
      </c>
      <c r="Q12" s="834">
        <f>AVERAGE(P12:P15)</f>
        <v>92.4</v>
      </c>
      <c r="R12" s="789"/>
      <c r="S12" s="80">
        <v>0.94</v>
      </c>
      <c r="T12" s="834">
        <f>AVERAGE(S12:S15)</f>
        <v>0.98</v>
      </c>
      <c r="U12" s="789"/>
      <c r="W12" s="838"/>
      <c r="X12" s="257">
        <f>I39</f>
        <v>1.9140830078125</v>
      </c>
      <c r="Y12" s="162">
        <f>L39</f>
        <v>26.614868489583333</v>
      </c>
      <c r="Z12" s="162">
        <f>O39</f>
        <v>0.92333333333333334</v>
      </c>
      <c r="AA12" s="162">
        <f>R39</f>
        <v>78.2</v>
      </c>
      <c r="AB12" s="165">
        <f>U39</f>
        <v>0.99166666666666659</v>
      </c>
    </row>
    <row r="13" spans="1:28" x14ac:dyDescent="0.25">
      <c r="B13" s="648"/>
      <c r="C13" s="648"/>
      <c r="D13" s="628"/>
      <c r="E13" s="669"/>
      <c r="F13" s="4">
        <v>2</v>
      </c>
      <c r="G13">
        <f>6.1*(294.74/1024)</f>
        <v>1.755775390625</v>
      </c>
      <c r="H13" s="834"/>
      <c r="I13" s="789"/>
      <c r="J13">
        <f>110.8*(294.74/1024)</f>
        <v>31.891789062499999</v>
      </c>
      <c r="K13" s="834"/>
      <c r="L13" s="789"/>
      <c r="M13" s="80">
        <v>0.94</v>
      </c>
      <c r="N13" s="834"/>
      <c r="O13" s="789"/>
      <c r="P13" s="80">
        <v>92.8</v>
      </c>
      <c r="Q13" s="834"/>
      <c r="R13" s="789"/>
      <c r="S13" s="80">
        <v>0.99</v>
      </c>
      <c r="T13" s="834"/>
      <c r="U13" s="789"/>
      <c r="W13" s="782" t="s">
        <v>143</v>
      </c>
      <c r="X13" s="80">
        <f>I3</f>
        <v>1.7994299153645834</v>
      </c>
      <c r="Y13">
        <f>L3</f>
        <v>31.640415755208334</v>
      </c>
      <c r="Z13">
        <f>O3</f>
        <v>0.93666666666666665</v>
      </c>
      <c r="AA13">
        <f>R3</f>
        <v>91.325000000000003</v>
      </c>
      <c r="AB13" s="4">
        <f>U3</f>
        <v>0.98</v>
      </c>
    </row>
    <row r="14" spans="1:28" x14ac:dyDescent="0.25">
      <c r="B14" s="648"/>
      <c r="C14" s="648"/>
      <c r="D14" s="628"/>
      <c r="E14" s="669"/>
      <c r="F14" s="4">
        <v>3</v>
      </c>
      <c r="G14">
        <f>6.1*(294.74/1024)</f>
        <v>1.755775390625</v>
      </c>
      <c r="H14" s="834"/>
      <c r="I14" s="789"/>
      <c r="J14">
        <f>120.4*(294.74/1024)</f>
        <v>34.654976562500003</v>
      </c>
      <c r="K14" s="834"/>
      <c r="L14" s="789"/>
      <c r="M14" s="80">
        <v>0.94</v>
      </c>
      <c r="N14" s="834"/>
      <c r="O14" s="789"/>
      <c r="P14" s="80">
        <v>94</v>
      </c>
      <c r="Q14" s="834"/>
      <c r="R14" s="789"/>
      <c r="S14" s="80">
        <v>0.99</v>
      </c>
      <c r="T14" s="834"/>
      <c r="U14" s="789"/>
      <c r="W14" s="648"/>
      <c r="X14" s="80">
        <f>I16</f>
        <v>1.9620550130208332</v>
      </c>
      <c r="Y14">
        <f>L16</f>
        <v>28.260308268229167</v>
      </c>
      <c r="Z14">
        <f>O16</f>
        <v>0.93333333333333335</v>
      </c>
      <c r="AA14">
        <f>R16</f>
        <v>90.133333333333326</v>
      </c>
      <c r="AB14" s="4">
        <f>U16</f>
        <v>0.99</v>
      </c>
    </row>
    <row r="15" spans="1:28" x14ac:dyDescent="0.25">
      <c r="B15" s="648"/>
      <c r="C15" s="648"/>
      <c r="D15" s="730"/>
      <c r="E15" s="670"/>
      <c r="F15" s="165">
        <v>4</v>
      </c>
      <c r="G15" s="162">
        <f>6.1*(294.74/1024)</f>
        <v>1.755775390625</v>
      </c>
      <c r="H15" s="836"/>
      <c r="I15" s="794"/>
      <c r="J15" s="162">
        <f>120.6*(294.74/1024)</f>
        <v>34.71254296875</v>
      </c>
      <c r="K15" s="836"/>
      <c r="L15" s="794"/>
      <c r="M15" s="257">
        <v>0.95</v>
      </c>
      <c r="N15" s="836"/>
      <c r="O15" s="794"/>
      <c r="P15" s="257">
        <v>105.4</v>
      </c>
      <c r="Q15" s="836"/>
      <c r="R15" s="794"/>
      <c r="S15" s="257">
        <v>1</v>
      </c>
      <c r="T15" s="836"/>
      <c r="U15" s="794"/>
      <c r="W15" s="648"/>
      <c r="X15" s="80">
        <f>I100</f>
        <v>1.8190984375000001</v>
      </c>
      <c r="Y15">
        <f>L100</f>
        <v>31.204829947916668</v>
      </c>
      <c r="Z15">
        <f>O100</f>
        <v>0.93333333333333324</v>
      </c>
      <c r="AA15">
        <f>R100</f>
        <v>91.339999999999989</v>
      </c>
      <c r="AB15" s="4">
        <f>U100</f>
        <v>0.98866666666666658</v>
      </c>
    </row>
    <row r="16" spans="1:28" x14ac:dyDescent="0.25">
      <c r="B16" s="648"/>
      <c r="C16" s="648"/>
      <c r="D16" s="628" t="s">
        <v>268</v>
      </c>
      <c r="E16" s="666">
        <v>1</v>
      </c>
      <c r="F16" s="4">
        <v>1</v>
      </c>
      <c r="G16">
        <f>6.6*(294.74/1024)</f>
        <v>1.8996914062499999</v>
      </c>
      <c r="H16" s="834">
        <f>AVERAGE(G16:G18)</f>
        <v>1.9092858072916663</v>
      </c>
      <c r="I16" s="789">
        <f>AVERAGE(H16:H19)</f>
        <v>1.9620550130208332</v>
      </c>
      <c r="J16">
        <f>105.6*(294.74/1024)</f>
        <v>30.395062499999998</v>
      </c>
      <c r="K16" s="834">
        <f>AVERAGE(J16:J18)</f>
        <v>29.608321614583332</v>
      </c>
      <c r="L16" s="789">
        <f>AVERAGE(K16:K19)</f>
        <v>28.260308268229167</v>
      </c>
      <c r="M16" s="80">
        <v>0.94</v>
      </c>
      <c r="N16" s="834">
        <f>AVERAGE(M16:M18)</f>
        <v>0.93666666666666665</v>
      </c>
      <c r="O16" s="789">
        <f>AVERAGE(N16:N19)</f>
        <v>0.93333333333333335</v>
      </c>
      <c r="P16" s="80">
        <v>90.6</v>
      </c>
      <c r="Q16" s="834">
        <f>AVERAGE(P16:P18)</f>
        <v>85.766666666666652</v>
      </c>
      <c r="R16" s="789">
        <f>AVERAGE(Q16:Q19)</f>
        <v>90.133333333333326</v>
      </c>
      <c r="S16" s="80">
        <v>1</v>
      </c>
      <c r="T16" s="834">
        <f>AVERAGE(S16:S18)</f>
        <v>0.98999999999999988</v>
      </c>
      <c r="U16" s="789">
        <f>AVERAGE(T16:T19)</f>
        <v>0.99</v>
      </c>
      <c r="W16" s="838"/>
      <c r="X16" s="257">
        <f>I115</f>
        <v>1.8485212673611111</v>
      </c>
      <c r="Y16" s="162">
        <f>L115</f>
        <v>29.985701388888888</v>
      </c>
      <c r="Z16" s="162">
        <f>O115</f>
        <v>0.93</v>
      </c>
      <c r="AA16" s="162">
        <f>R115</f>
        <v>89.055555555555543</v>
      </c>
      <c r="AB16" s="165">
        <f>U115</f>
        <v>0.96333333333333326</v>
      </c>
    </row>
    <row r="17" spans="2:30" x14ac:dyDescent="0.25">
      <c r="B17" s="648"/>
      <c r="C17" s="648"/>
      <c r="D17" s="628"/>
      <c r="E17" s="666"/>
      <c r="F17" s="4">
        <v>2</v>
      </c>
      <c r="G17">
        <f>6.8*(294.74/1024)</f>
        <v>1.9572578125</v>
      </c>
      <c r="H17" s="834"/>
      <c r="I17" s="789"/>
      <c r="J17">
        <f>92.8*(294.74/1024)</f>
        <v>26.710812499999999</v>
      </c>
      <c r="K17" s="834"/>
      <c r="L17" s="789"/>
      <c r="M17" s="80">
        <v>0.93</v>
      </c>
      <c r="N17" s="834"/>
      <c r="O17" s="789"/>
      <c r="P17" s="80">
        <v>85.8</v>
      </c>
      <c r="Q17" s="834"/>
      <c r="R17" s="789"/>
      <c r="S17" s="80">
        <v>1</v>
      </c>
      <c r="T17" s="834"/>
      <c r="U17" s="789"/>
      <c r="W17" s="782" t="s">
        <v>149</v>
      </c>
      <c r="X17" s="80">
        <f>I45</f>
        <v>1.7869571940104167</v>
      </c>
      <c r="Y17">
        <f>L45</f>
        <v>32.160432291666666</v>
      </c>
      <c r="Z17">
        <f>O45</f>
        <v>0.93666666666666665</v>
      </c>
      <c r="AA17">
        <f>R45</f>
        <v>91.547222222222217</v>
      </c>
      <c r="AB17" s="4">
        <f>U45</f>
        <v>0.98499999999999999</v>
      </c>
    </row>
    <row r="18" spans="2:30" x14ac:dyDescent="0.25">
      <c r="B18" s="648"/>
      <c r="C18" s="648"/>
      <c r="D18" s="628"/>
      <c r="E18" s="666"/>
      <c r="F18" s="4">
        <v>3</v>
      </c>
      <c r="G18">
        <f>6.5*(294.74/1024)</f>
        <v>1.8709082031249999</v>
      </c>
      <c r="H18" s="834"/>
      <c r="I18" s="789"/>
      <c r="J18">
        <f>110.2*(294.74/1024)</f>
        <v>31.719089843750002</v>
      </c>
      <c r="K18" s="834"/>
      <c r="L18" s="789"/>
      <c r="M18" s="80">
        <v>0.94</v>
      </c>
      <c r="N18" s="834"/>
      <c r="O18" s="789"/>
      <c r="P18" s="80">
        <v>80.900000000000006</v>
      </c>
      <c r="Q18" s="834"/>
      <c r="R18" s="789"/>
      <c r="S18" s="80">
        <v>0.97</v>
      </c>
      <c r="T18" s="834"/>
      <c r="U18" s="789"/>
      <c r="W18" s="648"/>
      <c r="X18" s="80">
        <f>I56</f>
        <v>1.8613138020833333</v>
      </c>
      <c r="Y18">
        <f>L56</f>
        <v>28.674466579861114</v>
      </c>
      <c r="Z18">
        <f>O56</f>
        <v>0.93222222222222229</v>
      </c>
      <c r="AA18">
        <f>R56</f>
        <v>100.72222222222223</v>
      </c>
      <c r="AB18" s="4">
        <f>U56</f>
        <v>0.97666666666666657</v>
      </c>
    </row>
    <row r="19" spans="2:30" ht="15.75" thickBot="1" x14ac:dyDescent="0.3">
      <c r="B19" s="656"/>
      <c r="C19" s="656"/>
      <c r="D19" s="628"/>
      <c r="E19" s="40">
        <v>2</v>
      </c>
      <c r="F19" s="4">
        <v>1</v>
      </c>
      <c r="G19">
        <f>7*(294.74/1024)</f>
        <v>2.0148242187500003</v>
      </c>
      <c r="H19" s="72">
        <f>G19</f>
        <v>2.0148242187500003</v>
      </c>
      <c r="I19" s="789"/>
      <c r="J19">
        <f>93.5*(294.74/1024)</f>
        <v>26.912294921875002</v>
      </c>
      <c r="K19" s="445">
        <f>J19</f>
        <v>26.912294921875002</v>
      </c>
      <c r="L19" s="789"/>
      <c r="M19" s="80">
        <v>0.93</v>
      </c>
      <c r="N19" s="445">
        <f>M19</f>
        <v>0.93</v>
      </c>
      <c r="O19" s="789"/>
      <c r="P19" s="80">
        <v>94.5</v>
      </c>
      <c r="Q19" s="445">
        <f>P19</f>
        <v>94.5</v>
      </c>
      <c r="R19" s="789"/>
      <c r="S19" s="80">
        <v>0.99</v>
      </c>
      <c r="T19" s="445">
        <f>S19</f>
        <v>0.99</v>
      </c>
      <c r="U19" s="789"/>
      <c r="W19" s="782" t="s">
        <v>95</v>
      </c>
      <c r="X19" s="412">
        <f>I169</f>
        <v>1.7404243489583333</v>
      </c>
      <c r="Y19" s="268">
        <f>L169</f>
        <v>30.205093359375002</v>
      </c>
      <c r="Z19" s="268">
        <f>O169</f>
        <v>0.93400000000000005</v>
      </c>
      <c r="AA19" s="268">
        <f>R169</f>
        <v>87.126666666666665</v>
      </c>
      <c r="AB19" s="164">
        <f>U169</f>
        <v>0.97250000000000003</v>
      </c>
    </row>
    <row r="20" spans="2:30" x14ac:dyDescent="0.25">
      <c r="B20" s="647" t="s">
        <v>226</v>
      </c>
      <c r="C20" s="647" t="s">
        <v>142</v>
      </c>
      <c r="D20" s="627" t="s">
        <v>238</v>
      </c>
      <c r="E20" s="665">
        <v>1</v>
      </c>
      <c r="F20" s="9">
        <v>1</v>
      </c>
      <c r="G20" s="8">
        <f>6.3*(294.74/1024)</f>
        <v>1.8133417968750001</v>
      </c>
      <c r="H20" s="837">
        <f>AVERAGE(G20:G24)</f>
        <v>1.6982089843750003</v>
      </c>
      <c r="I20" s="832">
        <f>AVERAGE(H20:H32)</f>
        <v>1.7436224826388891</v>
      </c>
      <c r="J20" s="8">
        <f>112.3*(294.74/1024)</f>
        <v>32.323537109375003</v>
      </c>
      <c r="K20" s="837">
        <f>AVERAGE(J20:J24)</f>
        <v>47.365639062500001</v>
      </c>
      <c r="L20" s="832">
        <f>AVERAGE(K20:K32)</f>
        <v>44.485399869791671</v>
      </c>
      <c r="M20" s="375">
        <v>0.94</v>
      </c>
      <c r="N20" s="837">
        <f>AVERAGE(M20:M24)</f>
        <v>0.95399999999999996</v>
      </c>
      <c r="O20" s="832">
        <f>AVERAGE(N20:N32)</f>
        <v>0.95044444444444443</v>
      </c>
      <c r="P20" s="375">
        <v>82.6</v>
      </c>
      <c r="Q20" s="837">
        <f>AVERAGE(P20:P24)</f>
        <v>92.02</v>
      </c>
      <c r="R20" s="832">
        <f>AVERAGE(Q20:Q32)</f>
        <v>86.793333333333337</v>
      </c>
      <c r="S20" s="375">
        <v>0.99</v>
      </c>
      <c r="T20" s="837">
        <f>AVERAGE(S20:S24)</f>
        <v>0.99600000000000011</v>
      </c>
      <c r="U20" s="832">
        <f>AVERAGE(T20:T32)</f>
        <v>0.99622222222222234</v>
      </c>
      <c r="W20" s="648"/>
      <c r="X20" s="80">
        <f>I184</f>
        <v>1.9092858072916667</v>
      </c>
      <c r="Y20">
        <f>L184</f>
        <v>21.889625976562499</v>
      </c>
      <c r="Z20">
        <f>O184</f>
        <v>0.91999999999999993</v>
      </c>
      <c r="AA20">
        <f>R184</f>
        <v>90.683333333333337</v>
      </c>
      <c r="AB20" s="4">
        <f>U184</f>
        <v>0.98166666666666658</v>
      </c>
    </row>
    <row r="21" spans="2:30" x14ac:dyDescent="0.25">
      <c r="B21" s="648"/>
      <c r="C21" s="648"/>
      <c r="D21" s="628"/>
      <c r="E21" s="666"/>
      <c r="F21" s="4">
        <v>2</v>
      </c>
      <c r="G21">
        <f>5.7*(294.74/1024)</f>
        <v>1.640642578125</v>
      </c>
      <c r="H21" s="834"/>
      <c r="I21" s="789"/>
      <c r="J21">
        <f>180.3*(294.74/1024)</f>
        <v>51.896115234375003</v>
      </c>
      <c r="K21" s="834"/>
      <c r="L21" s="789"/>
      <c r="M21" s="80">
        <v>0.96</v>
      </c>
      <c r="N21" s="834"/>
      <c r="O21" s="789"/>
      <c r="P21" s="80">
        <v>88.1</v>
      </c>
      <c r="Q21" s="834"/>
      <c r="R21" s="789"/>
      <c r="S21" s="80">
        <v>1</v>
      </c>
      <c r="T21" s="834"/>
      <c r="U21" s="789"/>
      <c r="W21" s="838"/>
      <c r="X21" s="257">
        <f>I190</f>
        <v>1.9252764756944443</v>
      </c>
      <c r="Y21" s="162">
        <f>L190</f>
        <v>25.428360894097224</v>
      </c>
      <c r="Z21" s="162">
        <f>O190</f>
        <v>0.93</v>
      </c>
      <c r="AA21" s="162">
        <f>R190</f>
        <v>93.166666666666671</v>
      </c>
      <c r="AB21" s="165">
        <f>U190</f>
        <v>0.96333333333333337</v>
      </c>
    </row>
    <row r="22" spans="2:30" x14ac:dyDescent="0.25">
      <c r="B22" s="648"/>
      <c r="C22" s="648"/>
      <c r="D22" s="628"/>
      <c r="E22" s="666"/>
      <c r="F22" s="4">
        <v>3</v>
      </c>
      <c r="G22">
        <f>5.9*(294.74/1024)</f>
        <v>1.6982089843750001</v>
      </c>
      <c r="H22" s="834"/>
      <c r="I22" s="789"/>
      <c r="J22">
        <f>206*(294.74/1024)</f>
        <v>59.293398437500002</v>
      </c>
      <c r="K22" s="834"/>
      <c r="L22" s="789"/>
      <c r="M22" s="80">
        <v>0.96</v>
      </c>
      <c r="N22" s="834"/>
      <c r="O22" s="789"/>
      <c r="P22" s="80">
        <v>97.6</v>
      </c>
      <c r="Q22" s="834"/>
      <c r="R22" s="789"/>
      <c r="S22" s="80">
        <v>1</v>
      </c>
      <c r="T22" s="834"/>
      <c r="U22" s="789"/>
      <c r="W22" s="782" t="s">
        <v>96</v>
      </c>
      <c r="X22" s="80">
        <f>I144</f>
        <v>1.8945743923611111</v>
      </c>
      <c r="Y22">
        <f>L144</f>
        <v>24.501861566840279</v>
      </c>
      <c r="Z22">
        <f>O144</f>
        <v>0.92222222222222217</v>
      </c>
      <c r="AA22">
        <f>R144</f>
        <v>89.990000000000009</v>
      </c>
      <c r="AB22" s="4">
        <f>U144</f>
        <v>0.96333333333333326</v>
      </c>
    </row>
    <row r="23" spans="2:30" x14ac:dyDescent="0.25">
      <c r="B23" s="648"/>
      <c r="C23" s="648"/>
      <c r="D23" s="628"/>
      <c r="E23" s="666"/>
      <c r="F23" s="4">
        <v>4</v>
      </c>
      <c r="G23">
        <f>5.5*(294.74/1024)</f>
        <v>1.5830761718750002</v>
      </c>
      <c r="H23" s="834"/>
      <c r="I23" s="789"/>
      <c r="J23">
        <f>190.9*(294.74/1024)</f>
        <v>54.947134765625002</v>
      </c>
      <c r="K23" s="834"/>
      <c r="L23" s="789"/>
      <c r="M23" s="80">
        <v>0.96</v>
      </c>
      <c r="N23" s="834"/>
      <c r="O23" s="789"/>
      <c r="P23" s="80">
        <v>101.8</v>
      </c>
      <c r="Q23" s="834"/>
      <c r="R23" s="789"/>
      <c r="S23" s="80">
        <v>0.99</v>
      </c>
      <c r="T23" s="834"/>
      <c r="U23" s="789"/>
      <c r="W23" s="648"/>
      <c r="X23" s="80">
        <f>I160</f>
        <v>1.9140830078125</v>
      </c>
      <c r="Y23">
        <f>L160</f>
        <v>19.63014453125</v>
      </c>
      <c r="Z23">
        <f>O160</f>
        <v>0.91500000000000004</v>
      </c>
      <c r="AA23">
        <f>R160</f>
        <v>93.85</v>
      </c>
      <c r="AB23" s="4">
        <f>U160</f>
        <v>0.99</v>
      </c>
    </row>
    <row r="24" spans="2:30" x14ac:dyDescent="0.25">
      <c r="B24" s="648"/>
      <c r="C24" s="648"/>
      <c r="D24" s="628"/>
      <c r="E24" s="745"/>
      <c r="F24" s="165">
        <v>5</v>
      </c>
      <c r="G24" s="257">
        <f>6.1*(294.74/1024)</f>
        <v>1.755775390625</v>
      </c>
      <c r="H24" s="836"/>
      <c r="I24" s="789"/>
      <c r="J24" s="257">
        <f>133.3*(294.74/1024)</f>
        <v>38.368009765625004</v>
      </c>
      <c r="K24" s="836"/>
      <c r="L24" s="789"/>
      <c r="M24" s="257">
        <v>0.95</v>
      </c>
      <c r="N24" s="836"/>
      <c r="O24" s="789"/>
      <c r="P24" s="257">
        <v>90</v>
      </c>
      <c r="Q24" s="836"/>
      <c r="R24" s="789"/>
      <c r="S24" s="257">
        <v>1</v>
      </c>
      <c r="T24" s="836"/>
      <c r="U24" s="789"/>
      <c r="W24" s="838"/>
      <c r="X24" s="257">
        <f>I162</f>
        <v>1.850120334201389</v>
      </c>
      <c r="Y24" s="162">
        <f>L162</f>
        <v>30.566162651909725</v>
      </c>
      <c r="Z24" s="162">
        <f>O162</f>
        <v>0.93055555555555569</v>
      </c>
      <c r="AA24" s="162">
        <f>R162</f>
        <v>90.777777777777786</v>
      </c>
      <c r="AB24" s="165">
        <f>U162</f>
        <v>0.98055555555555551</v>
      </c>
    </row>
    <row r="25" spans="2:30" x14ac:dyDescent="0.25">
      <c r="B25" s="648"/>
      <c r="C25" s="648"/>
      <c r="D25" s="628"/>
      <c r="E25" s="675">
        <v>2</v>
      </c>
      <c r="F25" s="4">
        <v>1</v>
      </c>
      <c r="G25">
        <f>6.2*(294.74/1024)</f>
        <v>1.7845585937500001</v>
      </c>
      <c r="H25" s="833">
        <f>AVERAGE(G25:G29)</f>
        <v>1.709722265625</v>
      </c>
      <c r="I25" s="789"/>
      <c r="J25">
        <f>133.2*(294.74/1024)</f>
        <v>38.339226562499995</v>
      </c>
      <c r="K25" s="833">
        <f>AVERAGE(J25:J29)</f>
        <v>49.507109375000006</v>
      </c>
      <c r="L25" s="789"/>
      <c r="M25" s="80">
        <v>0.94</v>
      </c>
      <c r="N25" s="833">
        <f>AVERAGE(M25:M29)</f>
        <v>0.95399999999999996</v>
      </c>
      <c r="O25" s="789"/>
      <c r="P25" s="80">
        <v>91.9</v>
      </c>
      <c r="Q25" s="833">
        <f>AVERAGE(P25:P29)</f>
        <v>91.759999999999991</v>
      </c>
      <c r="R25" s="789"/>
      <c r="S25" s="80">
        <v>1</v>
      </c>
      <c r="T25" s="833">
        <f>AVERAGE(S25:S29)</f>
        <v>0.99600000000000011</v>
      </c>
      <c r="U25" s="789"/>
      <c r="W25" s="782" t="s">
        <v>94</v>
      </c>
      <c r="X25" s="80">
        <f>I65</f>
        <v>1.8157403971354167</v>
      </c>
      <c r="Y25">
        <f>L65</f>
        <v>33.173121321614587</v>
      </c>
      <c r="Z25">
        <f>O65</f>
        <v>0.93733333333333346</v>
      </c>
      <c r="AA25">
        <f>R65</f>
        <v>100.78833333333334</v>
      </c>
      <c r="AB25" s="4">
        <f>U65</f>
        <v>0.98433333333333339</v>
      </c>
    </row>
    <row r="26" spans="2:30" x14ac:dyDescent="0.25">
      <c r="B26" s="648"/>
      <c r="C26" s="648"/>
      <c r="D26" s="628"/>
      <c r="E26" s="666"/>
      <c r="F26" s="4">
        <v>2</v>
      </c>
      <c r="G26">
        <f>5.9*(294.74/1024)</f>
        <v>1.6982089843750001</v>
      </c>
      <c r="H26" s="834"/>
      <c r="I26" s="789"/>
      <c r="J26">
        <f>181.5*(294.74/1024)</f>
        <v>52.241513671875005</v>
      </c>
      <c r="K26" s="834"/>
      <c r="L26" s="789"/>
      <c r="M26" s="80">
        <v>0.96</v>
      </c>
      <c r="N26" s="834"/>
      <c r="O26" s="789"/>
      <c r="P26" s="80">
        <v>88.9</v>
      </c>
      <c r="Q26" s="834"/>
      <c r="R26" s="789"/>
      <c r="S26" s="80">
        <v>0.99</v>
      </c>
      <c r="T26" s="834"/>
      <c r="U26" s="789"/>
      <c r="W26" s="648"/>
      <c r="X26" s="80">
        <f>I79</f>
        <v>1.9144028211805555</v>
      </c>
      <c r="Y26">
        <f>L79</f>
        <v>24.106252430555557</v>
      </c>
      <c r="Z26">
        <f>O79</f>
        <v>0.92366666666666664</v>
      </c>
      <c r="AA26">
        <f>R79</f>
        <v>92.020000000000024</v>
      </c>
      <c r="AB26" s="4">
        <f>U79</f>
        <v>0.95355555555555549</v>
      </c>
    </row>
    <row r="27" spans="2:30" x14ac:dyDescent="0.25">
      <c r="B27" s="648"/>
      <c r="C27" s="648"/>
      <c r="D27" s="628"/>
      <c r="E27" s="666"/>
      <c r="F27" s="4">
        <v>3</v>
      </c>
      <c r="G27">
        <f>5.7*(294.74/1024)</f>
        <v>1.640642578125</v>
      </c>
      <c r="H27" s="834"/>
      <c r="I27" s="789"/>
      <c r="J27">
        <f>199.1*(294.74/1024)</f>
        <v>57.307357421874997</v>
      </c>
      <c r="K27" s="834"/>
      <c r="L27" s="789"/>
      <c r="M27" s="80">
        <v>0.96</v>
      </c>
      <c r="N27" s="834"/>
      <c r="O27" s="789"/>
      <c r="P27" s="80">
        <v>101.2</v>
      </c>
      <c r="Q27" s="834"/>
      <c r="R27" s="789"/>
      <c r="S27" s="80">
        <v>0.99</v>
      </c>
      <c r="T27" s="834"/>
      <c r="U27" s="789"/>
      <c r="W27" s="838"/>
      <c r="X27" s="257">
        <f>I93</f>
        <v>1.8549175347222224</v>
      </c>
      <c r="Y27" s="162">
        <f>L93</f>
        <v>34.670967230902782</v>
      </c>
      <c r="Z27" s="162">
        <f>O93</f>
        <v>0.93500000000000005</v>
      </c>
      <c r="AA27" s="162">
        <f>R93</f>
        <v>100.50555555555555</v>
      </c>
      <c r="AB27" s="165">
        <f>U93</f>
        <v>0.99055555555555552</v>
      </c>
    </row>
    <row r="28" spans="2:30" x14ac:dyDescent="0.25">
      <c r="B28" s="648"/>
      <c r="C28" s="648"/>
      <c r="D28" s="628"/>
      <c r="E28" s="666"/>
      <c r="F28" s="4">
        <v>4</v>
      </c>
      <c r="G28">
        <f>5.7*(294.74/1024)</f>
        <v>1.640642578125</v>
      </c>
      <c r="H28" s="834"/>
      <c r="I28" s="789"/>
      <c r="J28">
        <f>193.8*(294.74/1024)</f>
        <v>55.781847656250008</v>
      </c>
      <c r="K28" s="834"/>
      <c r="L28" s="789"/>
      <c r="M28" s="80">
        <v>0.96</v>
      </c>
      <c r="N28" s="834"/>
      <c r="O28" s="789"/>
      <c r="P28" s="80">
        <v>103.4</v>
      </c>
      <c r="Q28" s="834"/>
      <c r="R28" s="789"/>
      <c r="S28" s="80">
        <v>1</v>
      </c>
      <c r="T28" s="834"/>
      <c r="U28" s="789"/>
      <c r="W28" s="782" t="s">
        <v>144</v>
      </c>
      <c r="X28" s="80">
        <f>I124</f>
        <v>1.8104634765625001</v>
      </c>
      <c r="Y28">
        <f>L124</f>
        <v>31.560782226562505</v>
      </c>
      <c r="Z28">
        <f>O124</f>
        <v>0.93199999999999994</v>
      </c>
      <c r="AA28">
        <f>R124</f>
        <v>92.286666666666676</v>
      </c>
      <c r="AB28" s="4">
        <f>U124</f>
        <v>0.98383333333333345</v>
      </c>
    </row>
    <row r="29" spans="2:30" ht="15.75" thickBot="1" x14ac:dyDescent="0.3">
      <c r="B29" s="648"/>
      <c r="C29" s="648"/>
      <c r="D29" s="628"/>
      <c r="E29" s="745"/>
      <c r="F29" s="165">
        <v>5</v>
      </c>
      <c r="G29" s="257">
        <f>6.2*(294.74/1024)</f>
        <v>1.7845585937500001</v>
      </c>
      <c r="H29" s="836"/>
      <c r="I29" s="789"/>
      <c r="J29" s="257">
        <f>152.4*(294.74/1024)</f>
        <v>43.865601562500004</v>
      </c>
      <c r="K29" s="836"/>
      <c r="L29" s="789"/>
      <c r="M29" s="257">
        <v>0.95</v>
      </c>
      <c r="N29" s="836"/>
      <c r="O29" s="789"/>
      <c r="P29" s="257">
        <v>73.400000000000006</v>
      </c>
      <c r="Q29" s="836"/>
      <c r="R29" s="789"/>
      <c r="S29" s="257">
        <v>1</v>
      </c>
      <c r="T29" s="836"/>
      <c r="U29" s="789"/>
      <c r="W29" s="656"/>
      <c r="X29" s="81">
        <f>I138</f>
        <v>1.8900970052083332</v>
      </c>
      <c r="Y29" s="6">
        <f>L138</f>
        <v>21.563416341145835</v>
      </c>
      <c r="Z29" s="6">
        <f>O138</f>
        <v>0.91666666666666663</v>
      </c>
      <c r="AA29" s="6">
        <f>R138</f>
        <v>80.7</v>
      </c>
      <c r="AB29" s="7">
        <f>U138</f>
        <v>0.98333333333333339</v>
      </c>
    </row>
    <row r="30" spans="2:30" x14ac:dyDescent="0.25">
      <c r="B30" s="648"/>
      <c r="C30" s="648"/>
      <c r="D30" s="628"/>
      <c r="E30" s="675">
        <v>3</v>
      </c>
      <c r="F30" s="4">
        <v>1</v>
      </c>
      <c r="G30">
        <f>6.2*(294.74/1024)</f>
        <v>1.7845585937500001</v>
      </c>
      <c r="H30" s="833">
        <f>AVERAGE(G30:G32)</f>
        <v>1.8229361979166665</v>
      </c>
      <c r="I30" s="789"/>
      <c r="J30">
        <f>152.3*(294.74/1024)</f>
        <v>43.836818359375002</v>
      </c>
      <c r="K30" s="833">
        <f>AVERAGE(J30:J32)</f>
        <v>36.583451171874998</v>
      </c>
      <c r="L30" s="789"/>
      <c r="M30" s="80">
        <v>0.95</v>
      </c>
      <c r="N30" s="833">
        <f>AVERAGE(M30:M32)</f>
        <v>0.94333333333333336</v>
      </c>
      <c r="O30" s="789"/>
      <c r="P30" s="80">
        <v>71.8</v>
      </c>
      <c r="Q30" s="833">
        <f>AVERAGE(P30:P32)</f>
        <v>76.599999999999994</v>
      </c>
      <c r="R30" s="789"/>
      <c r="S30" s="80">
        <v>1</v>
      </c>
      <c r="T30" s="833">
        <f>AVERAGE(S30:S32)</f>
        <v>0.9966666666666667</v>
      </c>
      <c r="U30" s="789"/>
    </row>
    <row r="31" spans="2:30" ht="15.75" thickBot="1" x14ac:dyDescent="0.3">
      <c r="B31" s="648"/>
      <c r="C31" s="648"/>
      <c r="D31" s="628"/>
      <c r="E31" s="666"/>
      <c r="F31" s="4">
        <v>2</v>
      </c>
      <c r="G31">
        <f>6.3*(294.74/1024)</f>
        <v>1.8133417968750001</v>
      </c>
      <c r="H31" s="834"/>
      <c r="I31" s="789"/>
      <c r="J31">
        <f>136.2*(294.74/1024)</f>
        <v>39.202722656249996</v>
      </c>
      <c r="K31" s="834"/>
      <c r="L31" s="789"/>
      <c r="M31" s="80">
        <v>0.95</v>
      </c>
      <c r="N31" s="834"/>
      <c r="O31" s="789"/>
      <c r="P31" s="80">
        <v>74.599999999999994</v>
      </c>
      <c r="Q31" s="834"/>
      <c r="R31" s="789"/>
      <c r="S31" s="80">
        <v>1</v>
      </c>
      <c r="T31" s="834"/>
      <c r="U31" s="789"/>
    </row>
    <row r="32" spans="2:30" ht="15.75" thickBot="1" x14ac:dyDescent="0.3">
      <c r="B32" s="648"/>
      <c r="C32" s="648"/>
      <c r="D32" s="629"/>
      <c r="E32" s="683"/>
      <c r="F32" s="7">
        <v>3</v>
      </c>
      <c r="G32" s="6">
        <f>6.5*(294.74/1024)</f>
        <v>1.8709082031249999</v>
      </c>
      <c r="H32" s="835"/>
      <c r="I32" s="790"/>
      <c r="J32" s="6">
        <f>92.8*(294.74/1024)</f>
        <v>26.710812499999999</v>
      </c>
      <c r="K32" s="835"/>
      <c r="L32" s="790"/>
      <c r="M32" s="81">
        <v>0.93</v>
      </c>
      <c r="N32" s="835"/>
      <c r="O32" s="790"/>
      <c r="P32" s="81">
        <v>83.4</v>
      </c>
      <c r="Q32" s="835"/>
      <c r="R32" s="790"/>
      <c r="S32" s="81">
        <v>0.99</v>
      </c>
      <c r="T32" s="835"/>
      <c r="U32" s="790"/>
      <c r="W32" s="689" t="s">
        <v>222</v>
      </c>
      <c r="X32" s="375"/>
      <c r="Y32" s="9"/>
      <c r="Z32" s="87" t="s">
        <v>254</v>
      </c>
      <c r="AA32" s="449" t="s">
        <v>255</v>
      </c>
      <c r="AB32" s="449" t="s">
        <v>301</v>
      </c>
      <c r="AC32" s="449" t="s">
        <v>257</v>
      </c>
      <c r="AD32" s="441" t="s">
        <v>302</v>
      </c>
    </row>
    <row r="33" spans="2:30" x14ac:dyDescent="0.25">
      <c r="B33" s="648"/>
      <c r="C33" s="648"/>
      <c r="D33" s="627" t="s">
        <v>298</v>
      </c>
      <c r="E33" s="665">
        <v>1</v>
      </c>
      <c r="F33" s="9">
        <v>1</v>
      </c>
      <c r="G33" s="8">
        <f>6.3*(294.74/1024)</f>
        <v>1.8133417968750001</v>
      </c>
      <c r="H33" s="837">
        <f>AVERAGE(G33:G34)</f>
        <v>1.8277333984375002</v>
      </c>
      <c r="I33" s="832">
        <f>AVERAGE(H33:H38)</f>
        <v>1.8181389973958335</v>
      </c>
      <c r="J33" s="8">
        <f>121.1*(294.74/1024)</f>
        <v>34.856458984375003</v>
      </c>
      <c r="K33" s="837">
        <f>AVERAGE(J33:J34)</f>
        <v>30.481412109375</v>
      </c>
      <c r="L33" s="832">
        <f>AVERAGE(K33:K38)</f>
        <v>31.978138671875001</v>
      </c>
      <c r="M33" s="375">
        <v>0.94</v>
      </c>
      <c r="N33" s="837">
        <f>AVERAGE(M33:M34)</f>
        <v>0.92999999999999994</v>
      </c>
      <c r="O33" s="832">
        <f>AVERAGE(N33:N38)</f>
        <v>0.93666666666666665</v>
      </c>
      <c r="P33" s="375">
        <v>92.9</v>
      </c>
      <c r="Q33" s="837">
        <f>AVERAGE(P33:P34)</f>
        <v>93.25</v>
      </c>
      <c r="R33" s="832">
        <f>AVERAGE(Q33:Q38)</f>
        <v>97.716666666666654</v>
      </c>
      <c r="S33" s="375">
        <v>0.99</v>
      </c>
      <c r="T33" s="837">
        <f>AVERAGE(S33:S34)</f>
        <v>0.98499999999999999</v>
      </c>
      <c r="U33" s="832">
        <f>AVERAGE(T33:T38)</f>
        <v>0.98833333333333329</v>
      </c>
      <c r="W33" s="690"/>
      <c r="X33" s="627" t="s">
        <v>72</v>
      </c>
      <c r="Y33" s="9" t="s">
        <v>64</v>
      </c>
      <c r="Z33" s="375">
        <f>TTEST(X7:X9,X10:X12,1,2)</f>
        <v>0.19178227093314362</v>
      </c>
      <c r="AA33" s="443">
        <f>TTEST(Y7:Y9,Y10:Y12,1,2)</f>
        <v>0.24331165878968328</v>
      </c>
      <c r="AB33" s="443">
        <f>TTEST(Z7:Z9,Z10:Z12,1,2)</f>
        <v>0.31938818160827853</v>
      </c>
      <c r="AC33" s="251">
        <f>TTEST(AA7:AA9,AA10:AA12,1,2)</f>
        <v>0.44555224639999724</v>
      </c>
      <c r="AD33" s="9">
        <f>TTEST(AB7:AB9,AB10:AB12,1,2)</f>
        <v>5.6098308033472329E-2</v>
      </c>
    </row>
    <row r="34" spans="2:30" x14ac:dyDescent="0.25">
      <c r="B34" s="648"/>
      <c r="C34" s="648"/>
      <c r="D34" s="628"/>
      <c r="E34" s="745"/>
      <c r="F34" s="165">
        <v>2</v>
      </c>
      <c r="G34" s="257">
        <f>6.4*(294.74/1024)</f>
        <v>1.8421250000000002</v>
      </c>
      <c r="H34" s="836"/>
      <c r="I34" s="789"/>
      <c r="J34" s="257">
        <f>90.7*(294.74/1024)</f>
        <v>26.106365234375001</v>
      </c>
      <c r="K34" s="836"/>
      <c r="L34" s="789"/>
      <c r="M34" s="257">
        <v>0.92</v>
      </c>
      <c r="N34" s="836"/>
      <c r="O34" s="789"/>
      <c r="P34" s="257">
        <v>93.6</v>
      </c>
      <c r="Q34" s="836"/>
      <c r="R34" s="789"/>
      <c r="S34" s="257">
        <v>0.98</v>
      </c>
      <c r="T34" s="836"/>
      <c r="U34" s="789"/>
      <c r="W34" s="690"/>
      <c r="X34" s="628"/>
      <c r="Y34" s="4" t="s">
        <v>65</v>
      </c>
      <c r="Z34" s="80">
        <f>TTEST(X10:X12,X13:X16,1,2)</f>
        <v>0.30725089057007238</v>
      </c>
      <c r="AA34" s="122">
        <f>TTEST(Y10:Y12,Y13:Y16,1,2)</f>
        <v>0.20365032673442518</v>
      </c>
      <c r="AB34" s="122">
        <f>TTEST(Z10:Z12,Z13:Z16,1,2)</f>
        <v>0.31383359145712664</v>
      </c>
      <c r="AC34" s="79">
        <f>TTEST(AA10:AA12,AA13:AA16,1,2)</f>
        <v>0.28526903651315982</v>
      </c>
      <c r="AD34" s="4">
        <f>TTEST(AB10:AB12,AB13:AB16,1,2)</f>
        <v>9.1923595351105863E-2</v>
      </c>
    </row>
    <row r="35" spans="2:30" x14ac:dyDescent="0.25">
      <c r="B35" s="648"/>
      <c r="C35" s="648"/>
      <c r="D35" s="628"/>
      <c r="E35" s="666">
        <v>2</v>
      </c>
      <c r="F35" s="4">
        <v>1</v>
      </c>
      <c r="G35">
        <f>6.3*(294.74/1024)</f>
        <v>1.8133417968750001</v>
      </c>
      <c r="H35" s="834">
        <f>AVERAGE(G35:G36)</f>
        <v>1.7989501953125</v>
      </c>
      <c r="I35" s="789"/>
      <c r="J35">
        <f>127.7*(294.74/1024)</f>
        <v>36.756150390625002</v>
      </c>
      <c r="K35" s="834">
        <f>AVERAGE(J35:J36)</f>
        <v>35.000375000000005</v>
      </c>
      <c r="L35" s="789"/>
      <c r="M35" s="80">
        <v>0.95</v>
      </c>
      <c r="N35" s="834">
        <f>AVERAGE(M35:M36)</f>
        <v>0.94499999999999995</v>
      </c>
      <c r="O35" s="789"/>
      <c r="P35" s="80">
        <v>108.5</v>
      </c>
      <c r="Q35" s="834">
        <f>AVERAGE(P35:P36)</f>
        <v>100.7</v>
      </c>
      <c r="R35" s="789"/>
      <c r="S35" s="80">
        <v>0.98</v>
      </c>
      <c r="T35" s="834">
        <f>AVERAGE(S35:S36)</f>
        <v>0.98499999999999999</v>
      </c>
      <c r="U35" s="789"/>
      <c r="W35" s="690"/>
      <c r="X35" s="628"/>
      <c r="Y35" s="4" t="s">
        <v>66</v>
      </c>
      <c r="Z35" s="80">
        <f>TTEST(X7:X9,X13:X16,1,2)</f>
        <v>0.35059001277677471</v>
      </c>
      <c r="AA35" s="122">
        <f>TTEST(Y7:Y9,Y13:Y16,1,2)</f>
        <v>0.38887360566488127</v>
      </c>
      <c r="AB35" s="122">
        <f>TTEST(Z7:Z9,Z13:Z16,1,2)</f>
        <v>0.38267195768158535</v>
      </c>
      <c r="AC35" s="79">
        <f>TTEST(AA7:AA9,AA13:AA16,1,2)</f>
        <v>7.8483748737871298E-2</v>
      </c>
      <c r="AD35" s="4">
        <f>TTEST(AB7:AB9,AB13:AB16,1,2)</f>
        <v>0.46705961137504715</v>
      </c>
    </row>
    <row r="36" spans="2:30" ht="15.75" thickBot="1" x14ac:dyDescent="0.3">
      <c r="B36" s="648"/>
      <c r="C36" s="648"/>
      <c r="D36" s="628"/>
      <c r="E36" s="745"/>
      <c r="F36" s="165">
        <v>2</v>
      </c>
      <c r="G36" s="257">
        <f>6.2*(294.74/1024)</f>
        <v>1.7845585937500001</v>
      </c>
      <c r="H36" s="836"/>
      <c r="I36" s="789"/>
      <c r="J36" s="257">
        <f>115.5*(294.74/1024)</f>
        <v>33.244599609375001</v>
      </c>
      <c r="K36" s="836"/>
      <c r="L36" s="789"/>
      <c r="M36" s="257">
        <v>0.94</v>
      </c>
      <c r="N36" s="836"/>
      <c r="O36" s="789"/>
      <c r="P36" s="257">
        <v>92.9</v>
      </c>
      <c r="Q36" s="836"/>
      <c r="R36" s="789"/>
      <c r="S36" s="257">
        <v>0.99</v>
      </c>
      <c r="T36" s="836"/>
      <c r="U36" s="789"/>
      <c r="W36" s="690"/>
      <c r="X36" s="629"/>
      <c r="Y36" s="94" t="s">
        <v>221</v>
      </c>
      <c r="Z36" s="81">
        <f>TTEST(X13:X16,X17:X18,1,2)</f>
        <v>0.30242068815292311</v>
      </c>
      <c r="AA36" s="123">
        <f>TTEST(Y13:Y16,Y17:Y18,1,2)</f>
        <v>0.46525175073224856</v>
      </c>
      <c r="AB36" s="123">
        <f>TTEST(Z13:Z16,Z17:Z18,1,2)</f>
        <v>0.33704616274321864</v>
      </c>
      <c r="AC36" s="82">
        <f>TTEST(AA13:AA16,AA17:AA18,1,2)</f>
        <v>6.2362459999036134E-2</v>
      </c>
      <c r="AD36" s="7">
        <f>TTEST(AB13:AB16,AB17:AB18,1,2)</f>
        <v>0.48691697401667355</v>
      </c>
    </row>
    <row r="37" spans="2:30" x14ac:dyDescent="0.25">
      <c r="B37" s="648"/>
      <c r="C37" s="648"/>
      <c r="D37" s="628"/>
      <c r="E37" s="666">
        <v>3</v>
      </c>
      <c r="F37" s="4">
        <v>1</v>
      </c>
      <c r="G37">
        <f>6.3*(294.74/1024)</f>
        <v>1.8133417968750001</v>
      </c>
      <c r="H37" s="834">
        <f>AVERAGE(G37:G38)</f>
        <v>1.8277333984375002</v>
      </c>
      <c r="I37" s="789"/>
      <c r="J37">
        <f>117.5*(294.74/1024)</f>
        <v>33.820263671875004</v>
      </c>
      <c r="K37" s="834">
        <f>AVERAGE(J37:J38)</f>
        <v>30.452628906250002</v>
      </c>
      <c r="L37" s="789"/>
      <c r="M37" s="80">
        <v>0.94</v>
      </c>
      <c r="N37" s="834">
        <f>AVERAGE(M37:M38)</f>
        <v>0.93500000000000005</v>
      </c>
      <c r="O37" s="789"/>
      <c r="P37" s="80">
        <v>91.6</v>
      </c>
      <c r="Q37" s="834">
        <f>AVERAGE(P37:P38)</f>
        <v>99.199999999999989</v>
      </c>
      <c r="R37" s="789"/>
      <c r="S37" s="80">
        <v>0.99</v>
      </c>
      <c r="T37" s="834">
        <f>AVERAGE(S37:S38)</f>
        <v>0.995</v>
      </c>
      <c r="U37" s="789"/>
      <c r="W37" s="690"/>
      <c r="X37" s="627" t="s">
        <v>73</v>
      </c>
      <c r="Y37" s="9" t="s">
        <v>64</v>
      </c>
      <c r="Z37" s="375">
        <f>TTEST(X19:X20,X22:X23,1,2)</f>
        <v>0.22423236317115469</v>
      </c>
      <c r="AA37" s="443">
        <f>TTEST(Y19:Y20,Y22:Y23,1,2)</f>
        <v>0.24777586281277714</v>
      </c>
      <c r="AB37" s="443">
        <f>TTEST(Z19:Z20,Z22:Z23,1,2)</f>
        <v>0.19920796161411902</v>
      </c>
      <c r="AC37" s="251">
        <f>TTEST(AA19:AA20,AA22:AA23,1,2)</f>
        <v>0.18473768456200923</v>
      </c>
      <c r="AD37" s="9">
        <f>TTEST(AB19:AB20,AB22:AB23,1,2)</f>
        <v>0.48955382108793111</v>
      </c>
    </row>
    <row r="38" spans="2:30" ht="15.75" thickBot="1" x14ac:dyDescent="0.3">
      <c r="B38" s="648"/>
      <c r="C38" s="648"/>
      <c r="D38" s="629"/>
      <c r="E38" s="683"/>
      <c r="F38" s="7">
        <v>2</v>
      </c>
      <c r="G38" s="6">
        <f>6.4*(294.74/1024)</f>
        <v>1.8421250000000002</v>
      </c>
      <c r="H38" s="835"/>
      <c r="I38" s="790"/>
      <c r="J38" s="6">
        <f>94.1*(294.74/1024)</f>
        <v>27.084994140625</v>
      </c>
      <c r="K38" s="835"/>
      <c r="L38" s="790"/>
      <c r="M38" s="81">
        <v>0.93</v>
      </c>
      <c r="N38" s="835"/>
      <c r="O38" s="790"/>
      <c r="P38" s="81">
        <v>106.8</v>
      </c>
      <c r="Q38" s="835"/>
      <c r="R38" s="790"/>
      <c r="S38" s="81">
        <v>1</v>
      </c>
      <c r="T38" s="835"/>
      <c r="U38" s="790"/>
      <c r="W38" s="690"/>
      <c r="X38" s="628"/>
      <c r="Y38" s="4" t="s">
        <v>65</v>
      </c>
      <c r="Z38" s="80">
        <f>TTEST(X22:X23,X25:X27,1,2)</f>
        <v>0.17032413188348688</v>
      </c>
      <c r="AA38" s="122">
        <f>TTEST(Y22:Y23,Y25:Y27,1,2)</f>
        <v>8.0437634093859497E-2</v>
      </c>
      <c r="AB38" s="122">
        <f>TTEST(Z22:Z23,Z25:Z27,1,2)</f>
        <v>5.7423196178401692E-2</v>
      </c>
      <c r="AC38" s="79">
        <f>TTEST(AA22:AA23,AA25:AA27,1,2)</f>
        <v>0.11906181398775306</v>
      </c>
      <c r="AD38" s="4">
        <f>TTEST(AB22:AB23,AB25:AB27,1,2)</f>
        <v>0.48929477767209184</v>
      </c>
    </row>
    <row r="39" spans="2:30" x14ac:dyDescent="0.25">
      <c r="B39" s="648"/>
      <c r="C39" s="648"/>
      <c r="D39" s="627" t="s">
        <v>267</v>
      </c>
      <c r="E39" s="665">
        <v>1</v>
      </c>
      <c r="F39" s="9">
        <v>1</v>
      </c>
      <c r="G39" s="8">
        <f>6.6*(294.74/1024)</f>
        <v>1.8996914062499999</v>
      </c>
      <c r="H39" s="837">
        <f>AVERAGE(G39:G40)</f>
        <v>1.8996914062499999</v>
      </c>
      <c r="I39" s="832">
        <f>AVERAGE(H39:H44)</f>
        <v>1.9140830078125</v>
      </c>
      <c r="J39" s="8">
        <f>105.8*(294.74/1024)</f>
        <v>30.452628906249998</v>
      </c>
      <c r="K39" s="837">
        <f>AVERAGE(J39:J40)</f>
        <v>30.121622070312497</v>
      </c>
      <c r="L39" s="832">
        <f>AVERAGE(K39:K44)</f>
        <v>26.614868489583333</v>
      </c>
      <c r="M39" s="375">
        <v>0.93</v>
      </c>
      <c r="N39" s="837">
        <f>AVERAGE(M39:M40)</f>
        <v>0.93</v>
      </c>
      <c r="O39" s="832">
        <f>AVERAGE(N39:N44)</f>
        <v>0.92333333333333334</v>
      </c>
      <c r="P39" s="375">
        <v>77.2</v>
      </c>
      <c r="Q39" s="837">
        <f>AVERAGE(P39:P40)</f>
        <v>73.900000000000006</v>
      </c>
      <c r="R39" s="832">
        <f>AVERAGE(Q39:Q44)</f>
        <v>78.2</v>
      </c>
      <c r="S39" s="375">
        <v>1</v>
      </c>
      <c r="T39" s="837">
        <f>AVERAGE(S39:S40)</f>
        <v>0.99</v>
      </c>
      <c r="U39" s="832">
        <f>AVERAGE(T39:T44)</f>
        <v>0.99166666666666659</v>
      </c>
      <c r="W39" s="690"/>
      <c r="X39" s="628"/>
      <c r="Y39" s="4" t="s">
        <v>66</v>
      </c>
      <c r="Z39" s="80">
        <f>TTEST(X19:X20,X25:X27,1,2)</f>
        <v>0.32433751919301312</v>
      </c>
      <c r="AA39" s="122">
        <f>TTEST(Y19:Y20,Y25:Y27,1,2)</f>
        <v>0.22331130708198887</v>
      </c>
      <c r="AB39" s="122">
        <f>TTEST(Z19:Z20,Z25:Z27,1,2)</f>
        <v>0.27742560042850717</v>
      </c>
      <c r="AC39" s="79">
        <f>TTEST(AA19:AA20,AA25:AA27,1,2)</f>
        <v>5.5050686731069186E-2</v>
      </c>
      <c r="AD39" s="4">
        <f>TTEST(AB19:AB20,AB25:AB27,1,2)</f>
        <v>0.47734073124397486</v>
      </c>
    </row>
    <row r="40" spans="2:30" ht="15.75" thickBot="1" x14ac:dyDescent="0.3">
      <c r="B40" s="648"/>
      <c r="C40" s="648"/>
      <c r="D40" s="628"/>
      <c r="E40" s="666"/>
      <c r="F40" s="4">
        <v>2</v>
      </c>
      <c r="G40" s="257">
        <f>6.6*(294.74/1024)</f>
        <v>1.8996914062499999</v>
      </c>
      <c r="H40" s="836"/>
      <c r="I40" s="789"/>
      <c r="J40" s="257">
        <f>103.5*(294.74/1024)</f>
        <v>29.790615234375</v>
      </c>
      <c r="K40" s="836"/>
      <c r="L40" s="789"/>
      <c r="M40" s="257">
        <v>0.93</v>
      </c>
      <c r="N40" s="836"/>
      <c r="O40" s="789"/>
      <c r="P40" s="257">
        <v>70.599999999999994</v>
      </c>
      <c r="Q40" s="836"/>
      <c r="R40" s="789"/>
      <c r="S40" s="257">
        <v>0.98</v>
      </c>
      <c r="T40" s="836"/>
      <c r="U40" s="789"/>
      <c r="W40" s="690"/>
      <c r="X40" s="629"/>
      <c r="Y40" s="7" t="s">
        <v>221</v>
      </c>
      <c r="Z40" s="81">
        <f>TTEST(X25:X27,X28:X29,1,2)</f>
        <v>0.41276444262662881</v>
      </c>
      <c r="AA40" s="123">
        <f>TTEST(Y25:Y27,Y28:Y29,1,2)</f>
        <v>0.26117131435388019</v>
      </c>
      <c r="AB40" s="123">
        <f>TTEST(Z25:Z27,Z28:Z29,1,2)</f>
        <v>0.2015916900044758</v>
      </c>
      <c r="AC40" s="82">
        <f>TTEST(AA25:AA27,AA28:AA29,1,2)</f>
        <v>7.1019391979195323E-2</v>
      </c>
      <c r="AD40" s="7">
        <f>TTEST(AB25:AB27,AB28:AB29,1,2)</f>
        <v>0.32463797978702841</v>
      </c>
    </row>
    <row r="41" spans="2:30" x14ac:dyDescent="0.25">
      <c r="B41" s="648"/>
      <c r="C41" s="648"/>
      <c r="D41" s="628"/>
      <c r="E41" s="666">
        <v>2</v>
      </c>
      <c r="F41" s="4">
        <v>1</v>
      </c>
      <c r="G41">
        <f>6.7*(294.74/1024)</f>
        <v>1.928474609375</v>
      </c>
      <c r="H41" s="834">
        <f>AVERAGE(G41:G42)</f>
        <v>1.9140830078125</v>
      </c>
      <c r="I41" s="789"/>
      <c r="J41">
        <f>86.5*(294.74/1024)</f>
        <v>24.897470703125002</v>
      </c>
      <c r="K41" s="834">
        <f>AVERAGE(J41:J42)</f>
        <v>24.681596679687502</v>
      </c>
      <c r="L41" s="789"/>
      <c r="M41" s="80">
        <v>0.92</v>
      </c>
      <c r="N41" s="834">
        <f>AVERAGE(M41:M42)</f>
        <v>0.92</v>
      </c>
      <c r="O41" s="789"/>
      <c r="P41" s="80">
        <v>80.8</v>
      </c>
      <c r="Q41" s="834">
        <f>AVERAGE(P41:P42)</f>
        <v>81.3</v>
      </c>
      <c r="R41" s="789"/>
      <c r="S41" s="80">
        <v>0.99</v>
      </c>
      <c r="T41" s="834">
        <f>AVERAGE(S41:S42)</f>
        <v>0.995</v>
      </c>
      <c r="U41" s="789"/>
      <c r="W41" s="690"/>
      <c r="X41" s="698" t="s">
        <v>220</v>
      </c>
      <c r="Y41" s="9" t="s">
        <v>26</v>
      </c>
      <c r="Z41" s="452">
        <f>TTEST(X7:X9,X19:X20,1,2)</f>
        <v>0.24808099254551055</v>
      </c>
      <c r="AA41" s="202">
        <f>TTEST(Y7:Y9,Y19:Y20,1,2)</f>
        <v>0.32345962307002007</v>
      </c>
      <c r="AB41" s="202">
        <f>TTEST(Z7:Z9,Z19:Z20,1,2)</f>
        <v>0.36683808992390321</v>
      </c>
      <c r="AC41" s="8">
        <f>TTEST(AA7:AA9,AA19:AA20,1,2)</f>
        <v>0.29022154772374043</v>
      </c>
      <c r="AD41" s="9">
        <f>TTEST(AB7:AB9,AB19:AB20,1,2)</f>
        <v>0.30071994493224918</v>
      </c>
    </row>
    <row r="42" spans="2:30" x14ac:dyDescent="0.25">
      <c r="B42" s="648"/>
      <c r="C42" s="648"/>
      <c r="D42" s="628"/>
      <c r="E42" s="666"/>
      <c r="F42" s="4">
        <v>2</v>
      </c>
      <c r="G42" s="257">
        <f>6.6*(294.74/1024)</f>
        <v>1.8996914062499999</v>
      </c>
      <c r="H42" s="836"/>
      <c r="I42" s="789"/>
      <c r="J42" s="257">
        <f>85*(294.74/1024)</f>
        <v>24.465722656250001</v>
      </c>
      <c r="K42" s="836"/>
      <c r="L42" s="789"/>
      <c r="M42" s="257">
        <v>0.92</v>
      </c>
      <c r="N42" s="836"/>
      <c r="O42" s="789"/>
      <c r="P42" s="257">
        <v>81.8</v>
      </c>
      <c r="Q42" s="836"/>
      <c r="R42" s="789"/>
      <c r="S42" s="257">
        <v>1</v>
      </c>
      <c r="T42" s="836"/>
      <c r="U42" s="789"/>
      <c r="W42" s="690"/>
      <c r="X42" s="699"/>
      <c r="Y42" s="4" t="s">
        <v>11</v>
      </c>
      <c r="Z42" s="261">
        <f>TTEST(X10:X12,X22:X23,1,2)</f>
        <v>0.15268503846262696</v>
      </c>
      <c r="AA42" s="132">
        <f>TTEST(Y10:Y12,Y22:Y23,1,2)</f>
        <v>9.0271705715596756E-2</v>
      </c>
      <c r="AB42" s="132">
        <f>TTEST(Z10:Z12,Z22:Z23,1,2)</f>
        <v>9.003643757023029E-2</v>
      </c>
      <c r="AC42">
        <f>TTEST(AA10:AA12,AA22:AA23,1,2)</f>
        <v>0.29971101411390411</v>
      </c>
      <c r="AD42" s="4">
        <f>TTEST(AB10:AB12,AB22:AB23,1,2)</f>
        <v>0.11696465032500029</v>
      </c>
    </row>
    <row r="43" spans="2:30" x14ac:dyDescent="0.25">
      <c r="B43" s="648"/>
      <c r="C43" s="648"/>
      <c r="D43" s="628"/>
      <c r="E43" s="666">
        <v>3</v>
      </c>
      <c r="F43" s="4">
        <v>1</v>
      </c>
      <c r="G43">
        <f>6.7*(294.74/1024)</f>
        <v>1.928474609375</v>
      </c>
      <c r="H43" s="834">
        <f>AVERAGE(G43:G44)</f>
        <v>1.928474609375</v>
      </c>
      <c r="I43" s="789"/>
      <c r="J43">
        <f>83.7*(294.74/1024)</f>
        <v>24.091541015625001</v>
      </c>
      <c r="K43" s="834">
        <f>AVERAGE(J43:J44)</f>
        <v>25.041386718750001</v>
      </c>
      <c r="L43" s="789"/>
      <c r="M43" s="80">
        <v>0.92</v>
      </c>
      <c r="N43" s="834">
        <f>AVERAGE(M43:M44)</f>
        <v>0.92</v>
      </c>
      <c r="O43" s="789"/>
      <c r="P43" s="80">
        <v>82.2</v>
      </c>
      <c r="Q43" s="834">
        <f>AVERAGE(P43:P44)</f>
        <v>79.400000000000006</v>
      </c>
      <c r="R43" s="789"/>
      <c r="S43" s="80">
        <v>0.99</v>
      </c>
      <c r="T43" s="834">
        <f>AVERAGE(S43:S44)</f>
        <v>0.99</v>
      </c>
      <c r="U43" s="789"/>
      <c r="W43" s="690"/>
      <c r="X43" s="699"/>
      <c r="Y43" s="4" t="s">
        <v>12</v>
      </c>
      <c r="Z43" s="261">
        <f>TTEST(X13:X16,X25:X27,1,2)</f>
        <v>0.46606091593959531</v>
      </c>
      <c r="AA43" s="132">
        <f>TTEST(Y13:Y16,Y25:Y27,1,2)</f>
        <v>0.45082609510750482</v>
      </c>
      <c r="AB43" s="132">
        <f>TTEST(Z13:Z16,Z25:Z27,1,2)</f>
        <v>0.37258156385200553</v>
      </c>
      <c r="AC43">
        <f>TTEST(AA13:AA16,AA25:AA27,1,2)</f>
        <v>1.6283807664464758E-2</v>
      </c>
      <c r="AD43" s="4">
        <f>TTEST(AB13:AB16,AB25:AB27,1,2)</f>
        <v>0.365978165002526</v>
      </c>
    </row>
    <row r="44" spans="2:30" ht="15.75" thickBot="1" x14ac:dyDescent="0.3">
      <c r="B44" s="656"/>
      <c r="C44" s="656"/>
      <c r="D44" s="629"/>
      <c r="E44" s="683"/>
      <c r="F44" s="7">
        <v>2</v>
      </c>
      <c r="G44" s="6">
        <f>6.7*(294.74/1024)</f>
        <v>1.928474609375</v>
      </c>
      <c r="H44" s="835"/>
      <c r="I44" s="790"/>
      <c r="J44" s="6">
        <f>90.3*(294.74/1024)</f>
        <v>25.991232421875001</v>
      </c>
      <c r="K44" s="835"/>
      <c r="L44" s="790"/>
      <c r="M44" s="81">
        <v>0.92</v>
      </c>
      <c r="N44" s="835"/>
      <c r="O44" s="790"/>
      <c r="P44" s="81">
        <v>76.599999999999994</v>
      </c>
      <c r="Q44" s="835"/>
      <c r="R44" s="790"/>
      <c r="S44" s="81">
        <v>0.99</v>
      </c>
      <c r="T44" s="835"/>
      <c r="U44" s="790"/>
      <c r="W44" s="691"/>
      <c r="X44" s="700"/>
      <c r="Y44" s="7" t="s">
        <v>219</v>
      </c>
      <c r="Z44" s="262">
        <f>TTEST(X17:X18,X28:X29,1,2)</f>
        <v>0.33931830547426928</v>
      </c>
      <c r="AA44" s="203">
        <f>TTEST(Y17:Y18,Y28:Y29,1,2)</f>
        <v>0.27108735511611526</v>
      </c>
      <c r="AB44" s="203">
        <f>TTEST(Z17:Z18,Z28:Z29,1,2)</f>
        <v>0.16640471508727228</v>
      </c>
      <c r="AC44" s="6">
        <f>TTEST(AA17:AA18,AA28:AA29,1,2)</f>
        <v>0.16096153088500614</v>
      </c>
      <c r="AD44" s="7">
        <f>TTEST(AB17:AB18,AB28:AB29,1,2)</f>
        <v>0.28886025912866431</v>
      </c>
    </row>
    <row r="45" spans="2:30" x14ac:dyDescent="0.25">
      <c r="B45" s="647" t="s">
        <v>227</v>
      </c>
      <c r="C45" s="647" t="s">
        <v>149</v>
      </c>
      <c r="D45" s="627" t="s">
        <v>236</v>
      </c>
      <c r="E45" s="701">
        <v>2</v>
      </c>
      <c r="F45" s="9">
        <v>1</v>
      </c>
      <c r="G45" s="8">
        <f>6.3*(294.74/1024)</f>
        <v>1.8133417968750001</v>
      </c>
      <c r="H45" s="837">
        <f>AVERAGE(G45:G48)</f>
        <v>1.7845585937500001</v>
      </c>
      <c r="I45" s="832">
        <f>AVERAGE(H45:H55)</f>
        <v>1.7869571940104167</v>
      </c>
      <c r="J45" s="8">
        <f>114.1*(294.74/1024)</f>
        <v>32.841634765625003</v>
      </c>
      <c r="K45" s="837">
        <f>AVERAGE(J45:J48)</f>
        <v>37.137527832031253</v>
      </c>
      <c r="L45" s="832">
        <f>AVERAGE(K45:K55)</f>
        <v>32.160432291666666</v>
      </c>
      <c r="M45" s="375">
        <v>0.94</v>
      </c>
      <c r="N45" s="837">
        <f>AVERAGE(M45:M48)</f>
        <v>0.94500000000000006</v>
      </c>
      <c r="O45" s="832">
        <f>AVERAGE(N45:N55)</f>
        <v>0.93666666666666665</v>
      </c>
      <c r="P45" s="375">
        <v>111.6</v>
      </c>
      <c r="Q45" s="837">
        <f>AVERAGE(P45:P48)</f>
        <v>92.35</v>
      </c>
      <c r="R45" s="832">
        <f>AVERAGE(Q45:Q55)</f>
        <v>91.547222222222217</v>
      </c>
      <c r="S45" s="375">
        <v>0.99</v>
      </c>
      <c r="T45" s="837">
        <f>AVERAGE(S45:S48)</f>
        <v>0.98249999999999993</v>
      </c>
      <c r="U45" s="832">
        <f>AVERAGE(T45:T55)</f>
        <v>0.98499999999999999</v>
      </c>
    </row>
    <row r="46" spans="2:30" x14ac:dyDescent="0.25">
      <c r="B46" s="648"/>
      <c r="C46" s="648"/>
      <c r="D46" s="628"/>
      <c r="E46" s="669"/>
      <c r="F46" s="4">
        <v>2</v>
      </c>
      <c r="G46">
        <f>6.1*(294.74/1024)</f>
        <v>1.755775390625</v>
      </c>
      <c r="H46" s="834"/>
      <c r="I46" s="789"/>
      <c r="J46">
        <f>126.2*(294.74/1024)</f>
        <v>36.324402343750002</v>
      </c>
      <c r="K46" s="834"/>
      <c r="L46" s="789"/>
      <c r="M46" s="80">
        <v>0.94</v>
      </c>
      <c r="N46" s="834"/>
      <c r="O46" s="789"/>
      <c r="P46" s="80">
        <v>92.9</v>
      </c>
      <c r="Q46" s="834"/>
      <c r="R46" s="789"/>
      <c r="S46" s="80">
        <v>0.96</v>
      </c>
      <c r="T46" s="834"/>
      <c r="U46" s="789"/>
    </row>
    <row r="47" spans="2:30" x14ac:dyDescent="0.25">
      <c r="B47" s="648"/>
      <c r="C47" s="648"/>
      <c r="D47" s="628"/>
      <c r="E47" s="669"/>
      <c r="F47" s="4">
        <v>3</v>
      </c>
      <c r="G47">
        <f>6*(294.74/1024)</f>
        <v>1.7269921875000001</v>
      </c>
      <c r="H47" s="834"/>
      <c r="I47" s="789"/>
      <c r="J47">
        <f>130.4*(294.74/1024)</f>
        <v>37.533296875000005</v>
      </c>
      <c r="K47" s="834"/>
      <c r="L47" s="789"/>
      <c r="M47" s="80">
        <v>0.95</v>
      </c>
      <c r="N47" s="834"/>
      <c r="O47" s="789"/>
      <c r="P47" s="80">
        <v>91.4</v>
      </c>
      <c r="Q47" s="834"/>
      <c r="R47" s="789"/>
      <c r="S47" s="80">
        <v>0.99</v>
      </c>
      <c r="T47" s="834"/>
      <c r="U47" s="789"/>
    </row>
    <row r="48" spans="2:30" x14ac:dyDescent="0.25">
      <c r="B48" s="648"/>
      <c r="C48" s="648"/>
      <c r="D48" s="628"/>
      <c r="E48" s="670"/>
      <c r="F48" s="165">
        <v>4</v>
      </c>
      <c r="G48" s="257">
        <f>6.4*(294.74/1024)</f>
        <v>1.8421250000000002</v>
      </c>
      <c r="H48" s="836"/>
      <c r="I48" s="789"/>
      <c r="J48" s="257">
        <f>145.4*(294.74/1024)</f>
        <v>41.850777343750003</v>
      </c>
      <c r="K48" s="836"/>
      <c r="L48" s="789"/>
      <c r="M48" s="257">
        <v>0.95</v>
      </c>
      <c r="N48" s="836"/>
      <c r="O48" s="789"/>
      <c r="P48" s="257">
        <v>73.5</v>
      </c>
      <c r="Q48" s="836"/>
      <c r="R48" s="789"/>
      <c r="S48" s="257">
        <v>0.99</v>
      </c>
      <c r="T48" s="836"/>
      <c r="U48" s="789"/>
    </row>
    <row r="49" spans="2:21" x14ac:dyDescent="0.25">
      <c r="B49" s="648"/>
      <c r="C49" s="648"/>
      <c r="D49" s="628"/>
      <c r="E49" s="669">
        <v>3</v>
      </c>
      <c r="F49" s="4">
        <v>1</v>
      </c>
      <c r="G49">
        <f>6.3*(294.74/1024)</f>
        <v>1.8133417968750001</v>
      </c>
      <c r="H49" s="834">
        <f>AVERAGE(G49:G52)</f>
        <v>1.79175439453125</v>
      </c>
      <c r="I49" s="789"/>
      <c r="J49">
        <f>144.2*(294.74/1024)</f>
        <v>41.505378906249994</v>
      </c>
      <c r="K49" s="834">
        <f>AVERAGE(J49:J52)</f>
        <v>32.43147412109375</v>
      </c>
      <c r="L49" s="789"/>
      <c r="M49" s="80">
        <v>0.95</v>
      </c>
      <c r="N49" s="834">
        <f>AVERAGE(M49:M52)</f>
        <v>0.93500000000000005</v>
      </c>
      <c r="O49" s="789"/>
      <c r="P49" s="80">
        <v>73.8</v>
      </c>
      <c r="Q49" s="834">
        <f>AVERAGE(P49:P52)</f>
        <v>95.424999999999997</v>
      </c>
      <c r="R49" s="789"/>
      <c r="S49" s="80">
        <v>0.99</v>
      </c>
      <c r="T49" s="834">
        <f>AVERAGE(S49:S52)</f>
        <v>0.99249999999999994</v>
      </c>
      <c r="U49" s="789"/>
    </row>
    <row r="50" spans="2:21" x14ac:dyDescent="0.25">
      <c r="B50" s="648"/>
      <c r="C50" s="648"/>
      <c r="D50" s="628"/>
      <c r="E50" s="669"/>
      <c r="F50" s="4">
        <v>2</v>
      </c>
      <c r="G50">
        <f>6.2*(294.74/1024)</f>
        <v>1.7845585937500001</v>
      </c>
      <c r="H50" s="834"/>
      <c r="I50" s="789"/>
      <c r="J50">
        <f>124*(294.74/1024)</f>
        <v>35.691171875000002</v>
      </c>
      <c r="K50" s="834"/>
      <c r="L50" s="789"/>
      <c r="M50" s="80">
        <v>0.94</v>
      </c>
      <c r="N50" s="834"/>
      <c r="O50" s="789"/>
      <c r="P50" s="80">
        <v>107.7</v>
      </c>
      <c r="Q50" s="834"/>
      <c r="R50" s="789"/>
      <c r="S50" s="80">
        <v>0.99</v>
      </c>
      <c r="T50" s="834"/>
      <c r="U50" s="789"/>
    </row>
    <row r="51" spans="2:21" x14ac:dyDescent="0.25">
      <c r="B51" s="648"/>
      <c r="C51" s="648"/>
      <c r="D51" s="628"/>
      <c r="E51" s="669"/>
      <c r="F51" s="4">
        <v>3</v>
      </c>
      <c r="G51">
        <f>6.2*(294.74/1024)</f>
        <v>1.7845585937500001</v>
      </c>
      <c r="H51" s="834"/>
      <c r="I51" s="789"/>
      <c r="J51">
        <f>83*(294.74/1024)</f>
        <v>23.890058593750002</v>
      </c>
      <c r="K51" s="834"/>
      <c r="L51" s="789"/>
      <c r="M51" s="80">
        <v>0.92</v>
      </c>
      <c r="N51" s="834"/>
      <c r="O51" s="789"/>
      <c r="P51" s="80">
        <v>102.2</v>
      </c>
      <c r="Q51" s="834"/>
      <c r="R51" s="789"/>
      <c r="S51" s="80">
        <v>1</v>
      </c>
      <c r="T51" s="834"/>
      <c r="U51" s="789"/>
    </row>
    <row r="52" spans="2:21" x14ac:dyDescent="0.25">
      <c r="B52" s="648"/>
      <c r="C52" s="648"/>
      <c r="D52" s="628"/>
      <c r="E52" s="670"/>
      <c r="F52" s="165">
        <v>4</v>
      </c>
      <c r="G52" s="257">
        <f>6.2*(294.74/1024)</f>
        <v>1.7845585937500001</v>
      </c>
      <c r="H52" s="836"/>
      <c r="I52" s="789"/>
      <c r="J52" s="257">
        <f>99.5*(294.74/1024)</f>
        <v>28.639287109375001</v>
      </c>
      <c r="K52" s="836"/>
      <c r="L52" s="789"/>
      <c r="M52" s="257">
        <v>0.93</v>
      </c>
      <c r="N52" s="836"/>
      <c r="O52" s="789"/>
      <c r="P52" s="257">
        <v>98</v>
      </c>
      <c r="Q52" s="836"/>
      <c r="R52" s="789"/>
      <c r="S52" s="257">
        <v>0.99</v>
      </c>
      <c r="T52" s="836"/>
      <c r="U52" s="789"/>
    </row>
    <row r="53" spans="2:21" x14ac:dyDescent="0.25">
      <c r="B53" s="648"/>
      <c r="C53" s="648"/>
      <c r="D53" s="628"/>
      <c r="E53" s="669">
        <v>4</v>
      </c>
      <c r="F53" s="4">
        <v>1</v>
      </c>
      <c r="G53">
        <f>5.7*(294.74/1024)</f>
        <v>1.640642578125</v>
      </c>
      <c r="H53" s="834">
        <f>AVERAGE(G53:G55)</f>
        <v>1.7845585937499999</v>
      </c>
      <c r="I53" s="789"/>
      <c r="J53">
        <f>91.8*(294.74/1024)</f>
        <v>26.422980468750001</v>
      </c>
      <c r="K53" s="834">
        <f>AVERAGE(J53:J55)</f>
        <v>26.912294921875002</v>
      </c>
      <c r="L53" s="789"/>
      <c r="M53" s="80">
        <v>0.93</v>
      </c>
      <c r="N53" s="834">
        <f>AVERAGE(M53:M55)</f>
        <v>0.93</v>
      </c>
      <c r="O53" s="789"/>
      <c r="P53" s="80">
        <v>100.2</v>
      </c>
      <c r="Q53" s="834">
        <f>AVERAGE(P53:P55)</f>
        <v>86.866666666666674</v>
      </c>
      <c r="R53" s="789"/>
      <c r="S53" s="80">
        <v>0.99</v>
      </c>
      <c r="T53" s="834">
        <f>AVERAGE(S53:S55)</f>
        <v>0.98</v>
      </c>
      <c r="U53" s="789"/>
    </row>
    <row r="54" spans="2:21" x14ac:dyDescent="0.25">
      <c r="B54" s="648"/>
      <c r="C54" s="648"/>
      <c r="D54" s="628"/>
      <c r="E54" s="669"/>
      <c r="F54" s="4">
        <v>2</v>
      </c>
      <c r="G54">
        <f>6.3*(294.74/1024)</f>
        <v>1.8133417968750001</v>
      </c>
      <c r="H54" s="834"/>
      <c r="I54" s="789"/>
      <c r="J54">
        <f>122.3*(294.74/1024)</f>
        <v>35.201857421874998</v>
      </c>
      <c r="K54" s="834"/>
      <c r="L54" s="789"/>
      <c r="M54" s="80">
        <v>0.94</v>
      </c>
      <c r="N54" s="834"/>
      <c r="O54" s="789"/>
      <c r="P54" s="80">
        <v>77.400000000000006</v>
      </c>
      <c r="Q54" s="834"/>
      <c r="R54" s="789"/>
      <c r="S54" s="80">
        <v>0.98</v>
      </c>
      <c r="T54" s="834"/>
      <c r="U54" s="789"/>
    </row>
    <row r="55" spans="2:21" ht="15.75" thickBot="1" x14ac:dyDescent="0.3">
      <c r="B55" s="648"/>
      <c r="C55" s="648"/>
      <c r="D55" s="629"/>
      <c r="E55" s="684"/>
      <c r="F55" s="7">
        <v>3</v>
      </c>
      <c r="G55" s="6">
        <f>6.6*(294.74/1024)</f>
        <v>1.8996914062499999</v>
      </c>
      <c r="H55" s="835"/>
      <c r="I55" s="790"/>
      <c r="J55" s="6">
        <f>66.4*(294.74/1024)</f>
        <v>19.112046875000001</v>
      </c>
      <c r="K55" s="835"/>
      <c r="L55" s="790"/>
      <c r="M55" s="81">
        <v>0.92</v>
      </c>
      <c r="N55" s="835"/>
      <c r="O55" s="790"/>
      <c r="P55" s="81">
        <v>83</v>
      </c>
      <c r="Q55" s="835"/>
      <c r="R55" s="790"/>
      <c r="S55" s="81">
        <v>0.97</v>
      </c>
      <c r="T55" s="835"/>
      <c r="U55" s="790"/>
    </row>
    <row r="56" spans="2:21" x14ac:dyDescent="0.25">
      <c r="B56" s="648"/>
      <c r="C56" s="648"/>
      <c r="D56" s="627" t="s">
        <v>297</v>
      </c>
      <c r="E56" s="665">
        <v>1</v>
      </c>
      <c r="F56" s="9">
        <v>1</v>
      </c>
      <c r="G56" s="8">
        <f>6.3*(294.74/1024)</f>
        <v>1.8133417968750001</v>
      </c>
      <c r="H56" s="837">
        <f>AVERAGE(G56:G58)</f>
        <v>1.8613138020833333</v>
      </c>
      <c r="I56" s="832">
        <f>AVERAGE(H56:H64)</f>
        <v>1.8613138020833333</v>
      </c>
      <c r="J56" s="8">
        <f>113.9*(294.74/1024)</f>
        <v>32.784068359375006</v>
      </c>
      <c r="K56" s="837">
        <f>AVERAGE(J56:J58)</f>
        <v>29.3588671875</v>
      </c>
      <c r="L56" s="832">
        <f>AVERAGE(K56:K64)</f>
        <v>28.674466579861114</v>
      </c>
      <c r="M56" s="375">
        <v>0.94</v>
      </c>
      <c r="N56" s="837">
        <f>AVERAGE(M56:M58)</f>
        <v>0.93333333333333346</v>
      </c>
      <c r="O56" s="832">
        <f>AVERAGE(N56:N64)</f>
        <v>0.93222222222222229</v>
      </c>
      <c r="P56" s="375">
        <v>83.9</v>
      </c>
      <c r="Q56" s="837">
        <f>AVERAGE(P56:P58)</f>
        <v>97.666666666666671</v>
      </c>
      <c r="R56" s="832">
        <f>AVERAGE(Q56:Q64)</f>
        <v>100.72222222222223</v>
      </c>
      <c r="S56" s="375">
        <v>0.99</v>
      </c>
      <c r="T56" s="837">
        <f>AVERAGE(S56:S58)</f>
        <v>0.97333333333333327</v>
      </c>
      <c r="U56" s="832">
        <f>AVERAGE(T56:T64)</f>
        <v>0.97666666666666657</v>
      </c>
    </row>
    <row r="57" spans="2:21" x14ac:dyDescent="0.25">
      <c r="B57" s="648"/>
      <c r="C57" s="648"/>
      <c r="D57" s="628"/>
      <c r="E57" s="666"/>
      <c r="F57" s="4">
        <v>2</v>
      </c>
      <c r="G57">
        <f>6.6*(294.74/1024)</f>
        <v>1.8996914062499999</v>
      </c>
      <c r="H57" s="834"/>
      <c r="I57" s="789"/>
      <c r="J57">
        <f>101.8*(294.74/1024)</f>
        <v>29.301300781249999</v>
      </c>
      <c r="K57" s="834"/>
      <c r="L57" s="789"/>
      <c r="M57" s="80">
        <v>0.93</v>
      </c>
      <c r="N57" s="834"/>
      <c r="O57" s="789"/>
      <c r="P57" s="80">
        <v>109.6</v>
      </c>
      <c r="Q57" s="834"/>
      <c r="R57" s="789"/>
      <c r="S57" s="80">
        <v>0.96</v>
      </c>
      <c r="T57" s="834"/>
      <c r="U57" s="789"/>
    </row>
    <row r="58" spans="2:21" x14ac:dyDescent="0.25">
      <c r="B58" s="648"/>
      <c r="C58" s="648"/>
      <c r="D58" s="628"/>
      <c r="E58" s="745"/>
      <c r="F58" s="165">
        <v>3</v>
      </c>
      <c r="G58" s="257">
        <f>6.5*(294.74/1024)</f>
        <v>1.8709082031249999</v>
      </c>
      <c r="H58" s="836"/>
      <c r="I58" s="789"/>
      <c r="J58" s="257">
        <f>90.3*(294.74/1024)</f>
        <v>25.991232421875001</v>
      </c>
      <c r="K58" s="836"/>
      <c r="L58" s="789"/>
      <c r="M58" s="257">
        <v>0.93</v>
      </c>
      <c r="N58" s="836"/>
      <c r="O58" s="789"/>
      <c r="P58" s="257">
        <v>99.5</v>
      </c>
      <c r="Q58" s="836"/>
      <c r="R58" s="789"/>
      <c r="S58" s="257">
        <v>0.97</v>
      </c>
      <c r="T58" s="836"/>
      <c r="U58" s="789"/>
    </row>
    <row r="59" spans="2:21" x14ac:dyDescent="0.25">
      <c r="B59" s="648"/>
      <c r="C59" s="648"/>
      <c r="D59" s="628"/>
      <c r="E59" s="666">
        <v>2</v>
      </c>
      <c r="F59" s="4">
        <v>1</v>
      </c>
      <c r="G59">
        <f>6.5*(294.74/1024)</f>
        <v>1.8709082031249999</v>
      </c>
      <c r="H59" s="834">
        <f>AVERAGE(G59:G61)</f>
        <v>1.8709082031250002</v>
      </c>
      <c r="I59" s="789"/>
      <c r="J59">
        <f>91.1*(294.74/1024)</f>
        <v>26.221498046874999</v>
      </c>
      <c r="K59" s="834">
        <f>AVERAGE(J59:J61)</f>
        <v>26.547707682291669</v>
      </c>
      <c r="L59" s="789"/>
      <c r="M59" s="80">
        <v>0.93</v>
      </c>
      <c r="N59" s="834">
        <f>AVERAGE(M59:M61)</f>
        <v>0.93</v>
      </c>
      <c r="O59" s="789"/>
      <c r="P59" s="80">
        <v>100.4</v>
      </c>
      <c r="Q59" s="834">
        <f>AVERAGE(P59:P61)</f>
        <v>100.8</v>
      </c>
      <c r="R59" s="789"/>
      <c r="S59" s="80">
        <v>0.98</v>
      </c>
      <c r="T59" s="834">
        <f>AVERAGE(S59:S61)</f>
        <v>0.98</v>
      </c>
      <c r="U59" s="789"/>
    </row>
    <row r="60" spans="2:21" x14ac:dyDescent="0.25">
      <c r="B60" s="648"/>
      <c r="C60" s="648"/>
      <c r="D60" s="628"/>
      <c r="E60" s="666"/>
      <c r="F60" s="4">
        <v>2</v>
      </c>
      <c r="G60">
        <f>6.7*(294.74/1024)</f>
        <v>1.928474609375</v>
      </c>
      <c r="H60" s="834"/>
      <c r="I60" s="789"/>
      <c r="J60">
        <f>84.4*(294.74/1024)</f>
        <v>24.293023437500004</v>
      </c>
      <c r="K60" s="834"/>
      <c r="L60" s="789"/>
      <c r="M60" s="80">
        <v>0.93</v>
      </c>
      <c r="N60" s="834"/>
      <c r="O60" s="789"/>
      <c r="P60" s="80">
        <v>98.9</v>
      </c>
      <c r="Q60" s="834"/>
      <c r="R60" s="789"/>
      <c r="S60" s="80">
        <v>0.98</v>
      </c>
      <c r="T60" s="834"/>
      <c r="U60" s="789"/>
    </row>
    <row r="61" spans="2:21" x14ac:dyDescent="0.25">
      <c r="B61" s="648"/>
      <c r="C61" s="648"/>
      <c r="D61" s="628"/>
      <c r="E61" s="745"/>
      <c r="F61" s="165">
        <v>3</v>
      </c>
      <c r="G61" s="257">
        <f>6.3*(294.74/1024)</f>
        <v>1.8133417968750001</v>
      </c>
      <c r="H61" s="836"/>
      <c r="I61" s="789"/>
      <c r="J61" s="257">
        <f>101.2*(294.74/1024)</f>
        <v>29.128601562500002</v>
      </c>
      <c r="K61" s="836"/>
      <c r="L61" s="789"/>
      <c r="M61" s="257">
        <v>0.93</v>
      </c>
      <c r="N61" s="836"/>
      <c r="O61" s="789"/>
      <c r="P61" s="257">
        <v>103.1</v>
      </c>
      <c r="Q61" s="836"/>
      <c r="R61" s="789"/>
      <c r="S61" s="257">
        <v>0.98</v>
      </c>
      <c r="T61" s="836"/>
      <c r="U61" s="789"/>
    </row>
    <row r="62" spans="2:21" x14ac:dyDescent="0.25">
      <c r="B62" s="648"/>
      <c r="C62" s="648"/>
      <c r="D62" s="628"/>
      <c r="E62" s="666">
        <v>3</v>
      </c>
      <c r="F62" s="4">
        <v>1</v>
      </c>
      <c r="G62">
        <f>6.4*(294.74/1024)</f>
        <v>1.8421250000000002</v>
      </c>
      <c r="H62" s="834">
        <f>AVERAGE(G62:G64)</f>
        <v>1.8517194010416667</v>
      </c>
      <c r="I62" s="789"/>
      <c r="J62">
        <f>101.1*(294.74/1024)</f>
        <v>29.099818359375</v>
      </c>
      <c r="K62" s="834">
        <f>AVERAGE(J62:J64)</f>
        <v>30.116824869791667</v>
      </c>
      <c r="L62" s="789"/>
      <c r="M62" s="80">
        <v>0.93</v>
      </c>
      <c r="N62" s="834">
        <f>AVERAGE(M62:M64)</f>
        <v>0.93333333333333324</v>
      </c>
      <c r="O62" s="789"/>
      <c r="P62" s="80">
        <v>102.9</v>
      </c>
      <c r="Q62" s="834">
        <f>AVERAGE(P62:P64)</f>
        <v>103.7</v>
      </c>
      <c r="R62" s="789"/>
      <c r="S62" s="80">
        <v>0.98</v>
      </c>
      <c r="T62" s="834">
        <f>AVERAGE(S62:S64)</f>
        <v>0.97666666666666657</v>
      </c>
      <c r="U62" s="789"/>
    </row>
    <row r="63" spans="2:21" x14ac:dyDescent="0.25">
      <c r="B63" s="648"/>
      <c r="C63" s="648"/>
      <c r="D63" s="628"/>
      <c r="E63" s="666"/>
      <c r="F63" s="4">
        <v>2</v>
      </c>
      <c r="G63">
        <f>6.6*(294.74/1024)</f>
        <v>1.8996914062499999</v>
      </c>
      <c r="H63" s="834"/>
      <c r="I63" s="789"/>
      <c r="J63">
        <f>94.1*(294.74/1024)</f>
        <v>27.084994140625</v>
      </c>
      <c r="K63" s="834"/>
      <c r="L63" s="789"/>
      <c r="M63" s="80">
        <v>0.93</v>
      </c>
      <c r="N63" s="834"/>
      <c r="O63" s="789"/>
      <c r="P63" s="80">
        <v>118.9</v>
      </c>
      <c r="Q63" s="834"/>
      <c r="R63" s="789"/>
      <c r="S63" s="80">
        <v>0.96</v>
      </c>
      <c r="T63" s="834"/>
      <c r="U63" s="789"/>
    </row>
    <row r="64" spans="2:21" ht="15.75" thickBot="1" x14ac:dyDescent="0.3">
      <c r="B64" s="656"/>
      <c r="C64" s="656"/>
      <c r="D64" s="629"/>
      <c r="E64" s="683"/>
      <c r="F64" s="7">
        <v>3</v>
      </c>
      <c r="G64" s="6">
        <f>6.3*(294.74/1024)</f>
        <v>1.8133417968750001</v>
      </c>
      <c r="H64" s="835"/>
      <c r="I64" s="790"/>
      <c r="J64" s="6">
        <f>118.7*(294.74/1024)</f>
        <v>34.165662109374999</v>
      </c>
      <c r="K64" s="835"/>
      <c r="L64" s="790"/>
      <c r="M64" s="81">
        <v>0.94</v>
      </c>
      <c r="N64" s="835"/>
      <c r="O64" s="790"/>
      <c r="P64" s="81">
        <v>89.3</v>
      </c>
      <c r="Q64" s="835"/>
      <c r="R64" s="790"/>
      <c r="S64" s="81">
        <v>0.99</v>
      </c>
      <c r="T64" s="835"/>
      <c r="U64" s="790"/>
    </row>
    <row r="65" spans="2:21" x14ac:dyDescent="0.25">
      <c r="B65" s="648" t="s">
        <v>228</v>
      </c>
      <c r="C65" s="648" t="s">
        <v>94</v>
      </c>
      <c r="D65" s="627" t="s">
        <v>239</v>
      </c>
      <c r="E65" s="701">
        <v>1</v>
      </c>
      <c r="F65" s="9">
        <v>1</v>
      </c>
      <c r="G65" s="8">
        <f>6.2*(294.74/1024)</f>
        <v>1.7845585937500001</v>
      </c>
      <c r="H65" s="837">
        <f>AVERAGE(G65:G69)</f>
        <v>1.847881640625</v>
      </c>
      <c r="I65" s="832">
        <f>AVERAGE(H65:H78)</f>
        <v>1.8157403971354167</v>
      </c>
      <c r="J65" s="8">
        <f>92.7*(294.74/1024)</f>
        <v>26.682029296875001</v>
      </c>
      <c r="K65" s="837">
        <f>AVERAGE(J65:J69)</f>
        <v>29.295544140625005</v>
      </c>
      <c r="L65" s="832">
        <f>AVERAGE(K65:K78)</f>
        <v>33.173121321614587</v>
      </c>
      <c r="M65" s="375">
        <v>0.93</v>
      </c>
      <c r="N65" s="837">
        <f>AVERAGE(M65:M69)</f>
        <v>0.93200000000000005</v>
      </c>
      <c r="O65" s="832">
        <f>AVERAGE(N65:N78)</f>
        <v>0.93733333333333346</v>
      </c>
      <c r="P65" s="375">
        <v>118.3</v>
      </c>
      <c r="Q65" s="837">
        <f>AVERAGE(P65:P69)</f>
        <v>101.06000000000002</v>
      </c>
      <c r="R65" s="832">
        <f>AVERAGE(Q65:Q78)</f>
        <v>100.78833333333334</v>
      </c>
      <c r="S65" s="375">
        <v>0.97</v>
      </c>
      <c r="T65" s="837">
        <f>AVERAGE(S65:S69)</f>
        <v>0.98000000000000009</v>
      </c>
      <c r="U65" s="832">
        <f>AVERAGE(T65:T78)</f>
        <v>0.98433333333333339</v>
      </c>
    </row>
    <row r="66" spans="2:21" x14ac:dyDescent="0.25">
      <c r="B66" s="648"/>
      <c r="C66" s="648"/>
      <c r="D66" s="628"/>
      <c r="E66" s="669"/>
      <c r="F66" s="4">
        <v>2</v>
      </c>
      <c r="G66">
        <f>6.4*(294.74/1024)</f>
        <v>1.8421250000000002</v>
      </c>
      <c r="H66" s="834"/>
      <c r="I66" s="789"/>
      <c r="J66">
        <f>104.3*(294.74/1024)</f>
        <v>30.020880859375001</v>
      </c>
      <c r="K66" s="834"/>
      <c r="L66" s="789"/>
      <c r="M66" s="80">
        <v>0.93</v>
      </c>
      <c r="N66" s="834"/>
      <c r="O66" s="789"/>
      <c r="P66" s="80">
        <v>90.8</v>
      </c>
      <c r="Q66" s="834"/>
      <c r="R66" s="789"/>
      <c r="S66" s="80">
        <v>0.99</v>
      </c>
      <c r="T66" s="834"/>
      <c r="U66" s="789"/>
    </row>
    <row r="67" spans="2:21" x14ac:dyDescent="0.25">
      <c r="B67" s="648"/>
      <c r="C67" s="648"/>
      <c r="D67" s="628"/>
      <c r="E67" s="669"/>
      <c r="F67" s="4">
        <v>3</v>
      </c>
      <c r="G67">
        <f>6.6*(294.74/1024)</f>
        <v>1.8996914062499999</v>
      </c>
      <c r="H67" s="834"/>
      <c r="I67" s="789"/>
      <c r="J67">
        <f>112.6*(294.74/1024)</f>
        <v>32.409886718750002</v>
      </c>
      <c r="K67" s="834"/>
      <c r="L67" s="789"/>
      <c r="M67" s="80">
        <v>0.94</v>
      </c>
      <c r="N67" s="834"/>
      <c r="O67" s="789"/>
      <c r="P67" s="80">
        <v>110</v>
      </c>
      <c r="Q67" s="834"/>
      <c r="R67" s="789"/>
      <c r="S67" s="80">
        <v>0.97</v>
      </c>
      <c r="T67" s="834"/>
      <c r="U67" s="789"/>
    </row>
    <row r="68" spans="2:21" x14ac:dyDescent="0.25">
      <c r="B68" s="648"/>
      <c r="C68" s="648"/>
      <c r="D68" s="628"/>
      <c r="E68" s="669"/>
      <c r="F68" s="4">
        <v>4</v>
      </c>
      <c r="G68">
        <f>6.7*(294.74/1024)</f>
        <v>1.928474609375</v>
      </c>
      <c r="H68" s="834"/>
      <c r="I68" s="789"/>
      <c r="J68">
        <f>88*(294.74/1024)</f>
        <v>25.329218750000003</v>
      </c>
      <c r="K68" s="834"/>
      <c r="L68" s="789"/>
      <c r="M68" s="80">
        <v>0.92</v>
      </c>
      <c r="N68" s="834"/>
      <c r="O68" s="789"/>
      <c r="P68" s="80">
        <v>77.8</v>
      </c>
      <c r="Q68" s="834"/>
      <c r="R68" s="789"/>
      <c r="S68" s="80">
        <v>0.99</v>
      </c>
      <c r="T68" s="834"/>
      <c r="U68" s="789"/>
    </row>
    <row r="69" spans="2:21" x14ac:dyDescent="0.25">
      <c r="B69" s="648"/>
      <c r="C69" s="648"/>
      <c r="D69" s="628"/>
      <c r="E69" s="670"/>
      <c r="F69" s="165">
        <v>5</v>
      </c>
      <c r="G69" s="257">
        <f>6.2*(294.74/1024)</f>
        <v>1.7845585937500001</v>
      </c>
      <c r="H69" s="836"/>
      <c r="I69" s="789"/>
      <c r="J69" s="257">
        <f>111.3*(294.74/1024)</f>
        <v>32.035705078124998</v>
      </c>
      <c r="K69" s="836"/>
      <c r="L69" s="789"/>
      <c r="M69" s="257">
        <v>0.94</v>
      </c>
      <c r="N69" s="836"/>
      <c r="O69" s="789"/>
      <c r="P69" s="257">
        <v>108.4</v>
      </c>
      <c r="Q69" s="836"/>
      <c r="R69" s="789"/>
      <c r="S69" s="257">
        <v>0.98</v>
      </c>
      <c r="T69" s="836"/>
      <c r="U69" s="789"/>
    </row>
    <row r="70" spans="2:21" x14ac:dyDescent="0.25">
      <c r="B70" s="648"/>
      <c r="C70" s="648"/>
      <c r="D70" s="628"/>
      <c r="E70" s="669">
        <v>2</v>
      </c>
      <c r="F70" s="4">
        <v>1</v>
      </c>
      <c r="G70">
        <f>6.1*(294.74/1024)</f>
        <v>1.755775390625</v>
      </c>
      <c r="H70" s="834">
        <f>AVERAGE(G70:G73)</f>
        <v>1.8205375976562499</v>
      </c>
      <c r="I70" s="789"/>
      <c r="J70">
        <f>109.1*(294.74/1024)</f>
        <v>31.402474609374998</v>
      </c>
      <c r="K70" s="834">
        <f>AVERAGE(J70:J73)</f>
        <v>34.561431152343751</v>
      </c>
      <c r="L70" s="789"/>
      <c r="M70" s="80">
        <v>0.94</v>
      </c>
      <c r="N70" s="834">
        <f>AVERAGE(M70:M73)</f>
        <v>0.94000000000000006</v>
      </c>
      <c r="O70" s="789"/>
      <c r="P70" s="80">
        <v>105.9</v>
      </c>
      <c r="Q70" s="834">
        <f>AVERAGE(P70:P73)</f>
        <v>102.825</v>
      </c>
      <c r="R70" s="789"/>
      <c r="S70" s="80">
        <v>0.98</v>
      </c>
      <c r="T70" s="834">
        <f>AVERAGE(S70:S73)</f>
        <v>0.98499999999999999</v>
      </c>
      <c r="U70" s="789"/>
    </row>
    <row r="71" spans="2:21" x14ac:dyDescent="0.25">
      <c r="B71" s="648"/>
      <c r="C71" s="648"/>
      <c r="D71" s="628"/>
      <c r="E71" s="669"/>
      <c r="F71" s="4">
        <v>2</v>
      </c>
      <c r="G71">
        <f>6.3*(294.74/1024)</f>
        <v>1.8133417968750001</v>
      </c>
      <c r="H71" s="834"/>
      <c r="I71" s="789"/>
      <c r="J71">
        <f>106.3*(294.74/1024)</f>
        <v>30.596544921875001</v>
      </c>
      <c r="K71" s="834"/>
      <c r="L71" s="789"/>
      <c r="M71" s="80">
        <v>0.93</v>
      </c>
      <c r="N71" s="834"/>
      <c r="O71" s="789"/>
      <c r="P71" s="80">
        <v>98.7</v>
      </c>
      <c r="Q71" s="834"/>
      <c r="R71" s="789"/>
      <c r="S71" s="80">
        <v>0.99</v>
      </c>
      <c r="T71" s="834"/>
      <c r="U71" s="789"/>
    </row>
    <row r="72" spans="2:21" x14ac:dyDescent="0.25">
      <c r="B72" s="648"/>
      <c r="C72" s="648"/>
      <c r="D72" s="628"/>
      <c r="E72" s="669"/>
      <c r="F72" s="4">
        <v>3</v>
      </c>
      <c r="G72">
        <f>6.3*(294.74/1024)</f>
        <v>1.8133417968750001</v>
      </c>
      <c r="H72" s="834"/>
      <c r="I72" s="789"/>
      <c r="J72">
        <f>158.7*(294.74/1024)</f>
        <v>45.678943359374998</v>
      </c>
      <c r="K72" s="834"/>
      <c r="L72" s="789"/>
      <c r="M72" s="80">
        <v>0.95</v>
      </c>
      <c r="N72" s="834"/>
      <c r="O72" s="789"/>
      <c r="P72" s="80">
        <v>101.9</v>
      </c>
      <c r="Q72" s="834"/>
      <c r="R72" s="789"/>
      <c r="S72" s="80">
        <v>0.99</v>
      </c>
      <c r="T72" s="834"/>
      <c r="U72" s="789"/>
    </row>
    <row r="73" spans="2:21" x14ac:dyDescent="0.25">
      <c r="B73" s="648"/>
      <c r="C73" s="648"/>
      <c r="D73" s="628"/>
      <c r="E73" s="670"/>
      <c r="F73" s="165">
        <v>4</v>
      </c>
      <c r="G73" s="257">
        <f>6.6*(294.74/1024)</f>
        <v>1.8996914062499999</v>
      </c>
      <c r="H73" s="836"/>
      <c r="I73" s="789"/>
      <c r="J73" s="257">
        <f>106.2*(294.74/1024)</f>
        <v>30.567761718750003</v>
      </c>
      <c r="K73" s="836"/>
      <c r="L73" s="789"/>
      <c r="M73" s="257">
        <v>0.94</v>
      </c>
      <c r="N73" s="836"/>
      <c r="O73" s="789"/>
      <c r="P73" s="257">
        <v>104.8</v>
      </c>
      <c r="Q73" s="836"/>
      <c r="R73" s="789"/>
      <c r="S73" s="257">
        <v>0.98</v>
      </c>
      <c r="T73" s="836"/>
      <c r="U73" s="789"/>
    </row>
    <row r="74" spans="2:21" x14ac:dyDescent="0.25">
      <c r="B74" s="648"/>
      <c r="C74" s="648"/>
      <c r="D74" s="628"/>
      <c r="E74" s="669">
        <v>3</v>
      </c>
      <c r="F74" s="4">
        <v>1</v>
      </c>
      <c r="G74">
        <f>6.1*(294.74/1024)</f>
        <v>1.755775390625</v>
      </c>
      <c r="H74" s="834">
        <f>AVERAGE(G74:G78)</f>
        <v>1.7788019531250001</v>
      </c>
      <c r="I74" s="789"/>
      <c r="J74">
        <f>100.3*(294.74/1024)</f>
        <v>28.869552734374999</v>
      </c>
      <c r="K74" s="834">
        <f>AVERAGE(J74:J78)</f>
        <v>35.662388671875</v>
      </c>
      <c r="L74" s="789"/>
      <c r="M74" s="80">
        <v>0.94</v>
      </c>
      <c r="N74" s="834">
        <f>AVERAGE(M74:M78)</f>
        <v>0.94000000000000006</v>
      </c>
      <c r="O74" s="789"/>
      <c r="P74" s="80">
        <v>110.2</v>
      </c>
      <c r="Q74" s="834">
        <f>AVERAGE(P74:P78)</f>
        <v>98.47999999999999</v>
      </c>
      <c r="R74" s="789"/>
      <c r="S74" s="80">
        <v>0.98</v>
      </c>
      <c r="T74" s="834">
        <f>AVERAGE(S74:S78)</f>
        <v>0.9880000000000001</v>
      </c>
      <c r="U74" s="789"/>
    </row>
    <row r="75" spans="2:21" x14ac:dyDescent="0.25">
      <c r="B75" s="648"/>
      <c r="C75" s="648"/>
      <c r="D75" s="628"/>
      <c r="E75" s="669"/>
      <c r="F75" s="4">
        <v>2</v>
      </c>
      <c r="G75">
        <f>6.3*(294.74/1024)</f>
        <v>1.8133417968750001</v>
      </c>
      <c r="H75" s="834"/>
      <c r="I75" s="789"/>
      <c r="J75">
        <f>98*(294.74/1024)</f>
        <v>28.2075390625</v>
      </c>
      <c r="K75" s="834"/>
      <c r="L75" s="789"/>
      <c r="M75" s="80">
        <v>0.93</v>
      </c>
      <c r="N75" s="834"/>
      <c r="O75" s="789"/>
      <c r="P75" s="80">
        <v>99</v>
      </c>
      <c r="Q75" s="834"/>
      <c r="R75" s="789"/>
      <c r="S75" s="80">
        <v>0.99</v>
      </c>
      <c r="T75" s="834"/>
      <c r="U75" s="789"/>
    </row>
    <row r="76" spans="2:21" x14ac:dyDescent="0.25">
      <c r="B76" s="648"/>
      <c r="C76" s="648"/>
      <c r="D76" s="628"/>
      <c r="E76" s="669"/>
      <c r="F76" s="4">
        <v>3</v>
      </c>
      <c r="G76">
        <f>6.3*(294.74/1024)</f>
        <v>1.8133417968750001</v>
      </c>
      <c r="H76" s="834"/>
      <c r="I76" s="789"/>
      <c r="J76">
        <f>115.8*(294.74/1024)</f>
        <v>33.33094921875</v>
      </c>
      <c r="K76" s="834"/>
      <c r="L76" s="789"/>
      <c r="M76" s="80">
        <v>0.93</v>
      </c>
      <c r="N76" s="834"/>
      <c r="O76" s="789"/>
      <c r="P76" s="80">
        <v>74.2</v>
      </c>
      <c r="Q76" s="834"/>
      <c r="R76" s="789"/>
      <c r="S76" s="80">
        <v>0.98</v>
      </c>
      <c r="T76" s="834"/>
      <c r="U76" s="789"/>
    </row>
    <row r="77" spans="2:21" x14ac:dyDescent="0.25">
      <c r="B77" s="648"/>
      <c r="C77" s="648"/>
      <c r="D77" s="628"/>
      <c r="E77" s="669"/>
      <c r="F77" s="4">
        <v>4</v>
      </c>
      <c r="G77">
        <f>6.3*(294.74/1024)</f>
        <v>1.8133417968750001</v>
      </c>
      <c r="H77" s="834"/>
      <c r="I77" s="789"/>
      <c r="J77">
        <f>161*(294.74/1024)</f>
        <v>46.340957031249999</v>
      </c>
      <c r="K77" s="834"/>
      <c r="L77" s="789"/>
      <c r="M77" s="80">
        <v>0.95</v>
      </c>
      <c r="N77" s="834"/>
      <c r="O77" s="789"/>
      <c r="P77" s="80">
        <v>94.3</v>
      </c>
      <c r="Q77" s="834"/>
      <c r="R77" s="789"/>
      <c r="S77" s="80">
        <v>1</v>
      </c>
      <c r="T77" s="834"/>
      <c r="U77" s="789"/>
    </row>
    <row r="78" spans="2:21" ht="15.75" thickBot="1" x14ac:dyDescent="0.3">
      <c r="B78" s="648"/>
      <c r="C78" s="648"/>
      <c r="D78" s="629"/>
      <c r="E78" s="684"/>
      <c r="F78" s="7">
        <v>5</v>
      </c>
      <c r="G78" s="6">
        <f>5.9*(294.74/1024)</f>
        <v>1.6982089843750001</v>
      </c>
      <c r="H78" s="835"/>
      <c r="I78" s="790"/>
      <c r="J78" s="6">
        <f>144.4*(294.74/1024)</f>
        <v>41.562945312500005</v>
      </c>
      <c r="K78" s="835"/>
      <c r="L78" s="790"/>
      <c r="M78" s="81">
        <v>0.95</v>
      </c>
      <c r="N78" s="835"/>
      <c r="O78" s="790"/>
      <c r="P78" s="81">
        <v>114.7</v>
      </c>
      <c r="Q78" s="835"/>
      <c r="R78" s="790"/>
      <c r="S78" s="81">
        <v>0.99</v>
      </c>
      <c r="T78" s="835"/>
      <c r="U78" s="790"/>
    </row>
    <row r="79" spans="2:21" x14ac:dyDescent="0.25">
      <c r="B79" s="648"/>
      <c r="C79" s="648"/>
      <c r="D79" s="627" t="s">
        <v>252</v>
      </c>
      <c r="E79" s="701">
        <v>1</v>
      </c>
      <c r="F79" s="9">
        <v>1</v>
      </c>
      <c r="G79" s="8">
        <f>6.6*(294.74/1024)</f>
        <v>1.8996914062499999</v>
      </c>
      <c r="H79" s="837">
        <f>AVERAGE(G79:G81)</f>
        <v>1.9188802083333332</v>
      </c>
      <c r="I79" s="832">
        <f>AVERAGE(H79:H92)</f>
        <v>1.9144028211805555</v>
      </c>
      <c r="J79" s="8">
        <f>79*(294.74/1024)</f>
        <v>22.738730468749999</v>
      </c>
      <c r="K79" s="837">
        <f>AVERAGE(J79:J81)</f>
        <v>23.995597005208335</v>
      </c>
      <c r="L79" s="832">
        <f>AVERAGE(K79:K92)</f>
        <v>24.106252430555557</v>
      </c>
      <c r="M79" s="375">
        <v>0.92</v>
      </c>
      <c r="N79" s="837">
        <f>AVERAGE(M79:M81)</f>
        <v>0.92333333333333334</v>
      </c>
      <c r="O79" s="832">
        <f>AVERAGE(N79:N92)</f>
        <v>0.92366666666666664</v>
      </c>
      <c r="P79" s="375">
        <v>85.7</v>
      </c>
      <c r="Q79" s="837">
        <f>AVERAGE(P79:P81)</f>
        <v>93.5</v>
      </c>
      <c r="R79" s="832">
        <f>AVERAGE(Q79:Q92)</f>
        <v>92.020000000000024</v>
      </c>
      <c r="S79" s="375">
        <v>0.97</v>
      </c>
      <c r="T79" s="837">
        <f>AVERAGE(S79:S81)</f>
        <v>0.94999999999999984</v>
      </c>
      <c r="U79" s="832">
        <f>AVERAGE(T79:T92)</f>
        <v>0.95355555555555549</v>
      </c>
    </row>
    <row r="80" spans="2:21" x14ac:dyDescent="0.25">
      <c r="B80" s="648"/>
      <c r="C80" s="648"/>
      <c r="D80" s="628"/>
      <c r="E80" s="669"/>
      <c r="F80" s="4">
        <v>2</v>
      </c>
      <c r="G80">
        <f>6.9*(294.74/1024)</f>
        <v>1.9860410156250001</v>
      </c>
      <c r="H80" s="834"/>
      <c r="I80" s="789"/>
      <c r="J80">
        <f>70.7*(294.74/1024)</f>
        <v>20.349724609375002</v>
      </c>
      <c r="K80" s="834"/>
      <c r="L80" s="789"/>
      <c r="M80" s="80">
        <v>0.92</v>
      </c>
      <c r="N80" s="834"/>
      <c r="O80" s="789"/>
      <c r="P80" s="80">
        <v>90.2</v>
      </c>
      <c r="Q80" s="834"/>
      <c r="R80" s="789"/>
      <c r="S80" s="80">
        <v>0.94</v>
      </c>
      <c r="T80" s="834"/>
      <c r="U80" s="789"/>
    </row>
    <row r="81" spans="2:21" x14ac:dyDescent="0.25">
      <c r="B81" s="648"/>
      <c r="C81" s="648"/>
      <c r="D81" s="628"/>
      <c r="E81" s="670"/>
      <c r="F81" s="165">
        <v>3</v>
      </c>
      <c r="G81" s="257">
        <f>6.5*(294.74/1024)</f>
        <v>1.8709082031249999</v>
      </c>
      <c r="H81" s="836"/>
      <c r="I81" s="789"/>
      <c r="J81" s="257">
        <f>100.4*(294.74/1024)</f>
        <v>28.898335937500004</v>
      </c>
      <c r="K81" s="836"/>
      <c r="L81" s="789"/>
      <c r="M81" s="257">
        <v>0.93</v>
      </c>
      <c r="N81" s="836"/>
      <c r="O81" s="789"/>
      <c r="P81" s="257">
        <v>104.6</v>
      </c>
      <c r="Q81" s="836"/>
      <c r="R81" s="789"/>
      <c r="S81" s="257">
        <v>0.94</v>
      </c>
      <c r="T81" s="836"/>
      <c r="U81" s="789"/>
    </row>
    <row r="82" spans="2:21" x14ac:dyDescent="0.25">
      <c r="B82" s="648"/>
      <c r="C82" s="648"/>
      <c r="D82" s="628"/>
      <c r="E82" s="669">
        <v>3</v>
      </c>
      <c r="F82" s="4">
        <v>1</v>
      </c>
      <c r="G82">
        <f>6.6*(294.74/1024)</f>
        <v>1.8996914062499999</v>
      </c>
      <c r="H82" s="833">
        <f>AVERAGE(G82:G87)</f>
        <v>1.9188802083333334</v>
      </c>
      <c r="I82" s="789"/>
      <c r="J82">
        <f>99.5*(294.74/1024)</f>
        <v>28.639287109375001</v>
      </c>
      <c r="K82" s="833">
        <f>AVERAGE(J82:J87)</f>
        <v>24.369778645833332</v>
      </c>
      <c r="L82" s="789"/>
      <c r="M82" s="80">
        <v>0.93</v>
      </c>
      <c r="N82" s="833">
        <f>AVERAGE(M82:M87)</f>
        <v>0.92166666666666675</v>
      </c>
      <c r="O82" s="789"/>
      <c r="P82" s="80">
        <v>103.9</v>
      </c>
      <c r="Q82" s="833">
        <f>AVERAGE(P82:P87)</f>
        <v>90.100000000000009</v>
      </c>
      <c r="R82" s="789"/>
      <c r="S82" s="80">
        <v>0.99</v>
      </c>
      <c r="T82" s="833">
        <f>AVERAGE(S82:S87)</f>
        <v>0.94666666666666677</v>
      </c>
      <c r="U82" s="789"/>
    </row>
    <row r="83" spans="2:21" x14ac:dyDescent="0.25">
      <c r="B83" s="648"/>
      <c r="C83" s="648"/>
      <c r="D83" s="628"/>
      <c r="E83" s="669"/>
      <c r="F83" s="4">
        <v>2</v>
      </c>
      <c r="G83">
        <f>6.7*(294.74/1024)</f>
        <v>1.928474609375</v>
      </c>
      <c r="H83" s="834"/>
      <c r="I83" s="789"/>
      <c r="J83">
        <f>78.4*(294.74/1024)</f>
        <v>22.566031250000002</v>
      </c>
      <c r="K83" s="834"/>
      <c r="L83" s="789"/>
      <c r="M83" s="80">
        <v>0.92</v>
      </c>
      <c r="N83" s="834"/>
      <c r="O83" s="789"/>
      <c r="P83" s="80">
        <v>93.3</v>
      </c>
      <c r="Q83" s="834"/>
      <c r="R83" s="789"/>
      <c r="S83" s="80">
        <v>0.97</v>
      </c>
      <c r="T83" s="834"/>
      <c r="U83" s="789"/>
    </row>
    <row r="84" spans="2:21" x14ac:dyDescent="0.25">
      <c r="B84" s="648"/>
      <c r="C84" s="648"/>
      <c r="D84" s="628"/>
      <c r="E84" s="669"/>
      <c r="F84" s="4">
        <v>3</v>
      </c>
      <c r="G84">
        <f>6.7*(294.74/1024)</f>
        <v>1.928474609375</v>
      </c>
      <c r="H84" s="834"/>
      <c r="I84" s="789"/>
      <c r="J84">
        <f>75.7*(294.74/1024)</f>
        <v>21.788884765625003</v>
      </c>
      <c r="K84" s="834"/>
      <c r="L84" s="789"/>
      <c r="M84" s="80">
        <v>0.92</v>
      </c>
      <c r="N84" s="834"/>
      <c r="O84" s="789"/>
      <c r="P84" s="80">
        <v>88.8</v>
      </c>
      <c r="Q84" s="834"/>
      <c r="R84" s="789"/>
      <c r="S84" s="80">
        <v>0.94</v>
      </c>
      <c r="T84" s="834"/>
      <c r="U84" s="789"/>
    </row>
    <row r="85" spans="2:21" x14ac:dyDescent="0.25">
      <c r="B85" s="648"/>
      <c r="C85" s="648"/>
      <c r="D85" s="628"/>
      <c r="E85" s="669"/>
      <c r="F85" s="4">
        <v>4</v>
      </c>
      <c r="G85">
        <f>6.8*(294.74/1024)</f>
        <v>1.9572578125</v>
      </c>
      <c r="H85" s="834"/>
      <c r="I85" s="789"/>
      <c r="J85">
        <f>78.8*(294.74/1024)</f>
        <v>22.681164062499999</v>
      </c>
      <c r="K85" s="834"/>
      <c r="L85" s="789"/>
      <c r="M85" s="80">
        <v>0.92</v>
      </c>
      <c r="N85" s="834"/>
      <c r="O85" s="789"/>
      <c r="P85" s="80">
        <v>81.2</v>
      </c>
      <c r="Q85" s="834"/>
      <c r="R85" s="789"/>
      <c r="S85" s="80">
        <v>0.94</v>
      </c>
      <c r="T85" s="834"/>
      <c r="U85" s="789"/>
    </row>
    <row r="86" spans="2:21" x14ac:dyDescent="0.25">
      <c r="B86" s="648"/>
      <c r="C86" s="648"/>
      <c r="D86" s="628"/>
      <c r="E86" s="669"/>
      <c r="F86" s="4">
        <v>5</v>
      </c>
      <c r="G86">
        <f>6.6*(294.74/1024)</f>
        <v>1.8996914062499999</v>
      </c>
      <c r="H86" s="834"/>
      <c r="I86" s="789"/>
      <c r="J86">
        <f>83.6*(294.74/1024)</f>
        <v>24.062757812499999</v>
      </c>
      <c r="K86" s="834"/>
      <c r="L86" s="789"/>
      <c r="M86" s="80">
        <v>0.92</v>
      </c>
      <c r="N86" s="834"/>
      <c r="O86" s="789"/>
      <c r="P86" s="80">
        <v>80.7</v>
      </c>
      <c r="Q86" s="834"/>
      <c r="R86" s="789"/>
      <c r="S86" s="80">
        <v>0.98</v>
      </c>
      <c r="T86" s="834"/>
      <c r="U86" s="789"/>
    </row>
    <row r="87" spans="2:21" x14ac:dyDescent="0.25">
      <c r="B87" s="648"/>
      <c r="C87" s="648"/>
      <c r="D87" s="628"/>
      <c r="E87" s="670"/>
      <c r="F87" s="165">
        <v>6</v>
      </c>
      <c r="G87" s="257">
        <f>6.6*(294.74/1024)</f>
        <v>1.8996914062499999</v>
      </c>
      <c r="H87" s="836"/>
      <c r="I87" s="789"/>
      <c r="J87" s="257">
        <f>92*(294.74/1024)</f>
        <v>26.480546875000002</v>
      </c>
      <c r="K87" s="836"/>
      <c r="L87" s="789"/>
      <c r="M87" s="257">
        <v>0.92</v>
      </c>
      <c r="N87" s="836"/>
      <c r="O87" s="789"/>
      <c r="P87" s="257">
        <v>92.7</v>
      </c>
      <c r="Q87" s="836"/>
      <c r="R87" s="789"/>
      <c r="S87" s="257">
        <v>0.86</v>
      </c>
      <c r="T87" s="836"/>
      <c r="U87" s="789"/>
    </row>
    <row r="88" spans="2:21" x14ac:dyDescent="0.25">
      <c r="B88" s="648"/>
      <c r="C88" s="648"/>
      <c r="D88" s="628"/>
      <c r="E88" s="669">
        <v>4</v>
      </c>
      <c r="F88" s="4">
        <v>1</v>
      </c>
      <c r="G88">
        <f>6.7*(294.74/1024)</f>
        <v>1.928474609375</v>
      </c>
      <c r="H88" s="833">
        <f>AVERAGE(G88:G92)</f>
        <v>1.9054480468750001</v>
      </c>
      <c r="I88" s="789"/>
      <c r="J88">
        <f>90.1*(294.74/1024)</f>
        <v>25.933666015625001</v>
      </c>
      <c r="K88" s="833">
        <f>AVERAGE(J88:J92)</f>
        <v>23.953381640625004</v>
      </c>
      <c r="L88" s="789"/>
      <c r="M88" s="80">
        <v>0.93</v>
      </c>
      <c r="N88" s="833">
        <f>AVERAGE(M88:M92)</f>
        <v>0.92599999999999993</v>
      </c>
      <c r="O88" s="789"/>
      <c r="P88" s="80">
        <v>90.8</v>
      </c>
      <c r="Q88" s="833">
        <f>AVERAGE(P88:P92)</f>
        <v>92.460000000000008</v>
      </c>
      <c r="R88" s="789"/>
      <c r="S88" s="80">
        <v>0.98</v>
      </c>
      <c r="T88" s="833">
        <f>AVERAGE(S88:S92)</f>
        <v>0.96400000000000008</v>
      </c>
      <c r="U88" s="789"/>
    </row>
    <row r="89" spans="2:21" x14ac:dyDescent="0.25">
      <c r="B89" s="648"/>
      <c r="C89" s="648"/>
      <c r="D89" s="628"/>
      <c r="E89" s="669"/>
      <c r="F89" s="4">
        <v>2</v>
      </c>
      <c r="G89">
        <f>6.4*(294.74/1024)</f>
        <v>1.8421250000000002</v>
      </c>
      <c r="H89" s="834"/>
      <c r="I89" s="789"/>
      <c r="J89">
        <f>87.2*(294.74/1024)</f>
        <v>25.098953125000001</v>
      </c>
      <c r="K89" s="834"/>
      <c r="L89" s="789"/>
      <c r="M89" s="80">
        <v>0.93</v>
      </c>
      <c r="N89" s="834"/>
      <c r="O89" s="789"/>
      <c r="P89" s="80">
        <v>91</v>
      </c>
      <c r="Q89" s="834"/>
      <c r="R89" s="789"/>
      <c r="S89" s="80">
        <v>0.99</v>
      </c>
      <c r="T89" s="834"/>
      <c r="U89" s="789"/>
    </row>
    <row r="90" spans="2:21" x14ac:dyDescent="0.25">
      <c r="B90" s="648"/>
      <c r="C90" s="648"/>
      <c r="D90" s="628"/>
      <c r="E90" s="669"/>
      <c r="F90" s="4">
        <v>3</v>
      </c>
      <c r="G90">
        <f>6.7*(294.74/1024)</f>
        <v>1.928474609375</v>
      </c>
      <c r="H90" s="834"/>
      <c r="I90" s="789"/>
      <c r="J90">
        <f>77.7*(294.74/1024)</f>
        <v>22.364548828125002</v>
      </c>
      <c r="K90" s="834"/>
      <c r="L90" s="789"/>
      <c r="M90" s="80">
        <v>0.92</v>
      </c>
      <c r="N90" s="834"/>
      <c r="O90" s="789"/>
      <c r="P90" s="80">
        <v>95.3</v>
      </c>
      <c r="Q90" s="834"/>
      <c r="R90" s="789"/>
      <c r="S90" s="80">
        <v>0.98</v>
      </c>
      <c r="T90" s="834"/>
      <c r="U90" s="789"/>
    </row>
    <row r="91" spans="2:21" x14ac:dyDescent="0.25">
      <c r="B91" s="648"/>
      <c r="C91" s="648"/>
      <c r="D91" s="628"/>
      <c r="E91" s="669"/>
      <c r="F91" s="4">
        <v>4</v>
      </c>
      <c r="G91">
        <f>6.8*(294.74/1024)</f>
        <v>1.9572578125</v>
      </c>
      <c r="H91" s="834"/>
      <c r="I91" s="789"/>
      <c r="J91">
        <f>76.9*(294.74/1024)</f>
        <v>22.134283203125001</v>
      </c>
      <c r="K91" s="834"/>
      <c r="L91" s="789"/>
      <c r="M91" s="80">
        <v>0.92</v>
      </c>
      <c r="N91" s="834"/>
      <c r="O91" s="789"/>
      <c r="P91" s="80">
        <v>87.4</v>
      </c>
      <c r="Q91" s="834"/>
      <c r="R91" s="789"/>
      <c r="S91" s="80">
        <v>0.93</v>
      </c>
      <c r="T91" s="834"/>
      <c r="U91" s="789"/>
    </row>
    <row r="92" spans="2:21" ht="15.75" thickBot="1" x14ac:dyDescent="0.3">
      <c r="B92" s="648"/>
      <c r="C92" s="648"/>
      <c r="D92" s="629"/>
      <c r="E92" s="684"/>
      <c r="F92" s="7">
        <v>5</v>
      </c>
      <c r="G92" s="6">
        <f>6.5*(294.74/1024)</f>
        <v>1.8709082031249999</v>
      </c>
      <c r="H92" s="835"/>
      <c r="I92" s="790"/>
      <c r="J92" s="6">
        <f>84.2*(294.74/1024)</f>
        <v>24.23545703125</v>
      </c>
      <c r="K92" s="835"/>
      <c r="L92" s="790"/>
      <c r="M92" s="81">
        <v>0.93</v>
      </c>
      <c r="N92" s="835"/>
      <c r="O92" s="790"/>
      <c r="P92" s="81">
        <v>97.8</v>
      </c>
      <c r="Q92" s="835"/>
      <c r="R92" s="790"/>
      <c r="S92" s="81">
        <v>0.94</v>
      </c>
      <c r="T92" s="835"/>
      <c r="U92" s="790"/>
    </row>
    <row r="93" spans="2:21" x14ac:dyDescent="0.25">
      <c r="B93" s="648"/>
      <c r="C93" s="648"/>
      <c r="D93" s="627" t="s">
        <v>238</v>
      </c>
      <c r="E93" s="665">
        <v>1</v>
      </c>
      <c r="F93" s="9">
        <v>1</v>
      </c>
      <c r="G93" s="8">
        <f>6.2*(294.74/1024)</f>
        <v>1.7845585937500001</v>
      </c>
      <c r="H93" s="837">
        <f>AVERAGE(G93:G94)</f>
        <v>1.7989501953125</v>
      </c>
      <c r="I93" s="832">
        <f>AVERAGE(H93:H99)</f>
        <v>1.8549175347222224</v>
      </c>
      <c r="J93" s="8">
        <f>159.4*(294.74/1024)</f>
        <v>45.880425781250004</v>
      </c>
      <c r="K93" s="837">
        <f>AVERAGE(J93:J94)</f>
        <v>46.657572265625006</v>
      </c>
      <c r="L93" s="832">
        <f>AVERAGE(K93:K99)</f>
        <v>34.670967230902782</v>
      </c>
      <c r="M93" s="375">
        <v>0.95</v>
      </c>
      <c r="N93" s="837">
        <f>AVERAGE(M93:M94)</f>
        <v>0.95</v>
      </c>
      <c r="O93" s="832">
        <f>AVERAGE(N93:N99)</f>
        <v>0.93500000000000005</v>
      </c>
      <c r="P93" s="375">
        <v>102.1</v>
      </c>
      <c r="Q93" s="837">
        <f>AVERAGE(P93:P94)</f>
        <v>97.55</v>
      </c>
      <c r="R93" s="832">
        <f>AVERAGE(Q93:Q99)</f>
        <v>100.50555555555555</v>
      </c>
      <c r="S93" s="375">
        <v>0.99</v>
      </c>
      <c r="T93" s="837">
        <f>AVERAGE(S93:S94)</f>
        <v>0.99</v>
      </c>
      <c r="U93" s="832">
        <f>AVERAGE(T93:T99)</f>
        <v>0.99055555555555552</v>
      </c>
    </row>
    <row r="94" spans="2:21" x14ac:dyDescent="0.25">
      <c r="B94" s="648"/>
      <c r="C94" s="648"/>
      <c r="D94" s="628"/>
      <c r="E94" s="745"/>
      <c r="F94" s="165">
        <v>2</v>
      </c>
      <c r="G94" s="257">
        <f>6.3*(294.74/1024)</f>
        <v>1.8133417968750001</v>
      </c>
      <c r="H94" s="836"/>
      <c r="I94" s="789"/>
      <c r="J94" s="257">
        <f>164.8*(294.74/1024)</f>
        <v>47.434718750000002</v>
      </c>
      <c r="K94" s="836"/>
      <c r="L94" s="789"/>
      <c r="M94" s="257">
        <v>0.95</v>
      </c>
      <c r="N94" s="836"/>
      <c r="O94" s="789"/>
      <c r="P94" s="257">
        <v>93</v>
      </c>
      <c r="Q94" s="836"/>
      <c r="R94" s="789"/>
      <c r="S94" s="257">
        <v>0.99</v>
      </c>
      <c r="T94" s="836"/>
      <c r="U94" s="789"/>
    </row>
    <row r="95" spans="2:21" x14ac:dyDescent="0.25">
      <c r="B95" s="648"/>
      <c r="C95" s="648"/>
      <c r="D95" s="628"/>
      <c r="E95" s="666">
        <v>2</v>
      </c>
      <c r="F95" s="4">
        <v>1</v>
      </c>
      <c r="G95">
        <f>6.5*(294.74/1024)</f>
        <v>1.8709082031249999</v>
      </c>
      <c r="H95" s="833">
        <f>AVERAGE(G95:G96)</f>
        <v>1.8852998046875</v>
      </c>
      <c r="I95" s="789"/>
      <c r="J95">
        <f>97.2*(294.74/1024)</f>
        <v>27.977273437500003</v>
      </c>
      <c r="K95" s="833">
        <f>AVERAGE(J95:J96)</f>
        <v>26.451763671875</v>
      </c>
      <c r="L95" s="789"/>
      <c r="M95" s="80">
        <v>0.92</v>
      </c>
      <c r="N95" s="833">
        <f>AVERAGE(M95:M96)</f>
        <v>0.92500000000000004</v>
      </c>
      <c r="O95" s="789"/>
      <c r="P95" s="80">
        <v>90.5</v>
      </c>
      <c r="Q95" s="833">
        <f>AVERAGE(P95:P96)</f>
        <v>101.3</v>
      </c>
      <c r="R95" s="789"/>
      <c r="S95" s="80">
        <v>0.98</v>
      </c>
      <c r="T95" s="833">
        <f>AVERAGE(S95:S96)</f>
        <v>0.98499999999999999</v>
      </c>
      <c r="U95" s="789"/>
    </row>
    <row r="96" spans="2:21" x14ac:dyDescent="0.25">
      <c r="B96" s="648"/>
      <c r="C96" s="648"/>
      <c r="D96" s="628"/>
      <c r="E96" s="745"/>
      <c r="F96" s="165">
        <v>2</v>
      </c>
      <c r="G96" s="257">
        <f>6.6*(294.74/1024)</f>
        <v>1.8996914062499999</v>
      </c>
      <c r="H96" s="836"/>
      <c r="I96" s="789"/>
      <c r="J96" s="257">
        <f>86.6*(294.74/1024)</f>
        <v>24.92625390625</v>
      </c>
      <c r="K96" s="836"/>
      <c r="L96" s="789"/>
      <c r="M96" s="257">
        <v>0.93</v>
      </c>
      <c r="N96" s="836"/>
      <c r="O96" s="789"/>
      <c r="P96" s="257">
        <v>112.1</v>
      </c>
      <c r="Q96" s="836"/>
      <c r="R96" s="789"/>
      <c r="S96" s="257">
        <v>0.99</v>
      </c>
      <c r="T96" s="836"/>
      <c r="U96" s="789"/>
    </row>
    <row r="97" spans="2:21" x14ac:dyDescent="0.25">
      <c r="B97" s="648"/>
      <c r="C97" s="648"/>
      <c r="D97" s="628"/>
      <c r="E97" s="666">
        <v>3</v>
      </c>
      <c r="F97" s="4">
        <v>1</v>
      </c>
      <c r="G97">
        <f>6.7*(294.74/1024)</f>
        <v>1.928474609375</v>
      </c>
      <c r="H97" s="834">
        <f>AVERAGE(G97:G99)</f>
        <v>1.8805026041666668</v>
      </c>
      <c r="I97" s="789"/>
      <c r="J97">
        <f>80.1*(294.74/1024)</f>
        <v>23.055345703124999</v>
      </c>
      <c r="K97" s="834">
        <f>AVERAGE(J97:J99)</f>
        <v>30.903565755208334</v>
      </c>
      <c r="L97" s="789"/>
      <c r="M97" s="80">
        <v>0.92</v>
      </c>
      <c r="N97" s="834">
        <f>AVERAGE(M97:M99)</f>
        <v>0.93</v>
      </c>
      <c r="O97" s="789"/>
      <c r="P97" s="80">
        <v>96.5</v>
      </c>
      <c r="Q97" s="834">
        <f>AVERAGE(P97:P99)</f>
        <v>102.66666666666667</v>
      </c>
      <c r="R97" s="789"/>
      <c r="S97" s="80">
        <v>1</v>
      </c>
      <c r="T97" s="834">
        <f>AVERAGE(S97:S99)</f>
        <v>0.9966666666666667</v>
      </c>
      <c r="U97" s="789"/>
    </row>
    <row r="98" spans="2:21" x14ac:dyDescent="0.25">
      <c r="B98" s="648"/>
      <c r="C98" s="648"/>
      <c r="D98" s="628"/>
      <c r="E98" s="666"/>
      <c r="F98" s="4">
        <v>2</v>
      </c>
      <c r="G98">
        <f>6.7*(294.74/1024)</f>
        <v>1.928474609375</v>
      </c>
      <c r="H98" s="834"/>
      <c r="I98" s="789"/>
      <c r="J98">
        <f>114.8*(294.74/1024)</f>
        <v>33.043117187500002</v>
      </c>
      <c r="K98" s="834"/>
      <c r="L98" s="789"/>
      <c r="M98" s="80">
        <v>0.93</v>
      </c>
      <c r="N98" s="834"/>
      <c r="O98" s="789"/>
      <c r="P98" s="80">
        <v>101</v>
      </c>
      <c r="Q98" s="834"/>
      <c r="R98" s="789"/>
      <c r="S98" s="80">
        <v>0.99</v>
      </c>
      <c r="T98" s="834"/>
      <c r="U98" s="789"/>
    </row>
    <row r="99" spans="2:21" ht="15.75" thickBot="1" x14ac:dyDescent="0.3">
      <c r="B99" s="648"/>
      <c r="C99" s="648"/>
      <c r="D99" s="629"/>
      <c r="E99" s="683"/>
      <c r="F99" s="7">
        <v>3</v>
      </c>
      <c r="G99" s="6">
        <f>6.2*(294.74/1024)</f>
        <v>1.7845585937500001</v>
      </c>
      <c r="H99" s="835"/>
      <c r="I99" s="790"/>
      <c r="J99" s="6">
        <f>127.2*(294.74/1024)</f>
        <v>36.612234375</v>
      </c>
      <c r="K99" s="835"/>
      <c r="L99" s="790"/>
      <c r="M99" s="81">
        <v>0.94</v>
      </c>
      <c r="N99" s="835"/>
      <c r="O99" s="790"/>
      <c r="P99" s="81">
        <v>110.5</v>
      </c>
      <c r="Q99" s="835"/>
      <c r="R99" s="790"/>
      <c r="S99" s="81">
        <v>1</v>
      </c>
      <c r="T99" s="835"/>
      <c r="U99" s="790"/>
    </row>
    <row r="100" spans="2:21" x14ac:dyDescent="0.25">
      <c r="B100" s="647" t="s">
        <v>150</v>
      </c>
      <c r="C100" s="647" t="s">
        <v>143</v>
      </c>
      <c r="D100" s="627" t="s">
        <v>240</v>
      </c>
      <c r="E100" s="701">
        <v>2</v>
      </c>
      <c r="F100" s="9">
        <v>1</v>
      </c>
      <c r="G100" s="8">
        <f>6.1*(294.74/1024)</f>
        <v>1.755775390625</v>
      </c>
      <c r="H100" s="837">
        <f>AVERAGE(G100:G104)</f>
        <v>1.8306117187499999</v>
      </c>
      <c r="I100" s="832">
        <f>AVERAGE(H100:H114)</f>
        <v>1.8190984375000001</v>
      </c>
      <c r="J100" s="8">
        <f>152.2*(294.74/1024)</f>
        <v>43.80803515625</v>
      </c>
      <c r="K100" s="837">
        <f>AVERAGE(J100:J104)</f>
        <v>31.143425781249999</v>
      </c>
      <c r="L100" s="832">
        <f>AVERAGE(K100:K114)</f>
        <v>31.204829947916668</v>
      </c>
      <c r="M100" s="375">
        <v>0.96</v>
      </c>
      <c r="N100" s="837">
        <f>AVERAGE(M100:M104)</f>
        <v>0.93399999999999994</v>
      </c>
      <c r="O100" s="832">
        <f>AVERAGE(N100:N114)</f>
        <v>0.93333333333333324</v>
      </c>
      <c r="P100" s="375">
        <v>112.7</v>
      </c>
      <c r="Q100" s="837">
        <f>AVERAGE(P100:P104)</f>
        <v>89.76</v>
      </c>
      <c r="R100" s="832">
        <f>AVERAGE(Q100:Q114)</f>
        <v>91.339999999999989</v>
      </c>
      <c r="S100" s="375">
        <v>0.99</v>
      </c>
      <c r="T100" s="837">
        <f>AVERAGE(S100:S104)</f>
        <v>0.98999999999999988</v>
      </c>
      <c r="U100" s="832">
        <f>AVERAGE(T100:T114)</f>
        <v>0.98866666666666658</v>
      </c>
    </row>
    <row r="101" spans="2:21" x14ac:dyDescent="0.25">
      <c r="B101" s="648"/>
      <c r="C101" s="648"/>
      <c r="D101" s="628"/>
      <c r="E101" s="669"/>
      <c r="F101" s="4">
        <v>2</v>
      </c>
      <c r="G101">
        <f>6.3*(294.74/1024)</f>
        <v>1.8133417968750001</v>
      </c>
      <c r="H101" s="834"/>
      <c r="I101" s="789"/>
      <c r="J101">
        <f>114.8*(294.74/1024)</f>
        <v>33.043117187500002</v>
      </c>
      <c r="K101" s="834"/>
      <c r="L101" s="789"/>
      <c r="M101" s="80">
        <v>0.94</v>
      </c>
      <c r="N101" s="834"/>
      <c r="O101" s="789"/>
      <c r="P101" s="80">
        <v>88.6</v>
      </c>
      <c r="Q101" s="834"/>
      <c r="R101" s="789"/>
      <c r="S101" s="80">
        <v>0.99</v>
      </c>
      <c r="T101" s="834"/>
      <c r="U101" s="789"/>
    </row>
    <row r="102" spans="2:21" x14ac:dyDescent="0.25">
      <c r="B102" s="648"/>
      <c r="C102" s="648"/>
      <c r="D102" s="628"/>
      <c r="E102" s="669"/>
      <c r="F102" s="4">
        <v>3</v>
      </c>
      <c r="G102">
        <f>6.4*(294.74/1024)</f>
        <v>1.8421250000000002</v>
      </c>
      <c r="H102" s="834"/>
      <c r="I102" s="789"/>
      <c r="J102">
        <f>86.6*(294.74/1024)</f>
        <v>24.92625390625</v>
      </c>
      <c r="K102" s="834"/>
      <c r="L102" s="789"/>
      <c r="M102" s="80">
        <v>0.92</v>
      </c>
      <c r="N102" s="834"/>
      <c r="O102" s="789"/>
      <c r="P102" s="80">
        <v>84.6</v>
      </c>
      <c r="Q102" s="834"/>
      <c r="R102" s="789"/>
      <c r="S102" s="80">
        <v>1</v>
      </c>
      <c r="T102" s="834"/>
      <c r="U102" s="789"/>
    </row>
    <row r="103" spans="2:21" x14ac:dyDescent="0.25">
      <c r="B103" s="648"/>
      <c r="C103" s="648"/>
      <c r="D103" s="628"/>
      <c r="E103" s="669"/>
      <c r="F103" s="4">
        <v>4</v>
      </c>
      <c r="G103">
        <f>6.3*(294.74/1024)</f>
        <v>1.8133417968750001</v>
      </c>
      <c r="H103" s="834"/>
      <c r="I103" s="789"/>
      <c r="J103">
        <f>93.4*(294.74/1024)</f>
        <v>26.883511718750004</v>
      </c>
      <c r="K103" s="834"/>
      <c r="L103" s="789"/>
      <c r="M103" s="80">
        <v>0.92</v>
      </c>
      <c r="N103" s="834"/>
      <c r="O103" s="789"/>
      <c r="P103" s="80">
        <v>94.6</v>
      </c>
      <c r="Q103" s="834"/>
      <c r="R103" s="789"/>
      <c r="S103" s="80">
        <v>0.99</v>
      </c>
      <c r="T103" s="834"/>
      <c r="U103" s="789"/>
    </row>
    <row r="104" spans="2:21" x14ac:dyDescent="0.25">
      <c r="B104" s="648"/>
      <c r="C104" s="648"/>
      <c r="D104" s="628"/>
      <c r="E104" s="670"/>
      <c r="F104" s="165">
        <v>5</v>
      </c>
      <c r="G104" s="257">
        <f>6.7*(294.74/1024)</f>
        <v>1.928474609375</v>
      </c>
      <c r="H104" s="836"/>
      <c r="I104" s="789"/>
      <c r="J104" s="257">
        <f>94*(294.74/1024)</f>
        <v>27.056210937500001</v>
      </c>
      <c r="K104" s="836"/>
      <c r="L104" s="789"/>
      <c r="M104" s="257">
        <v>0.93</v>
      </c>
      <c r="N104" s="836"/>
      <c r="O104" s="789"/>
      <c r="P104" s="257">
        <v>68.3</v>
      </c>
      <c r="Q104" s="836"/>
      <c r="R104" s="789"/>
      <c r="S104" s="257">
        <v>0.98</v>
      </c>
      <c r="T104" s="836"/>
      <c r="U104" s="789"/>
    </row>
    <row r="105" spans="2:21" x14ac:dyDescent="0.25">
      <c r="B105" s="648"/>
      <c r="C105" s="648"/>
      <c r="D105" s="628"/>
      <c r="E105" s="669">
        <v>3</v>
      </c>
      <c r="F105" s="4">
        <v>1</v>
      </c>
      <c r="G105">
        <f>6.7*(294.74/1024)</f>
        <v>1.928474609375</v>
      </c>
      <c r="H105" s="834">
        <f>AVERAGE(G105:G109)</f>
        <v>1.836368359375</v>
      </c>
      <c r="I105" s="789"/>
      <c r="J105">
        <f>95.8*(294.74/1024)</f>
        <v>27.574308593750001</v>
      </c>
      <c r="K105" s="834">
        <f>AVERAGE(J105:J109)</f>
        <v>29.635185937500001</v>
      </c>
      <c r="L105" s="789"/>
      <c r="M105" s="80">
        <v>0.93</v>
      </c>
      <c r="N105" s="834">
        <f>AVERAGE(M105:M109)</f>
        <v>0.93200000000000005</v>
      </c>
      <c r="O105" s="789"/>
      <c r="P105" s="80">
        <v>69</v>
      </c>
      <c r="Q105" s="834">
        <f>AVERAGE(P105:P109)</f>
        <v>89.5</v>
      </c>
      <c r="R105" s="789"/>
      <c r="S105" s="80">
        <v>0.98</v>
      </c>
      <c r="T105" s="834">
        <f>AVERAGE(S105:S109)</f>
        <v>0.98799999999999988</v>
      </c>
      <c r="U105" s="789"/>
    </row>
    <row r="106" spans="2:21" x14ac:dyDescent="0.25">
      <c r="B106" s="648"/>
      <c r="C106" s="648"/>
      <c r="D106" s="628"/>
      <c r="E106" s="669"/>
      <c r="F106" s="4">
        <v>2</v>
      </c>
      <c r="G106">
        <f>6.3*(294.74/1024)</f>
        <v>1.8133417968750001</v>
      </c>
      <c r="H106" s="834"/>
      <c r="I106" s="789"/>
      <c r="J106">
        <f>126.2*(294.74/1024)</f>
        <v>36.324402343750002</v>
      </c>
      <c r="K106" s="834"/>
      <c r="L106" s="789"/>
      <c r="M106" s="80">
        <v>0.94</v>
      </c>
      <c r="N106" s="834"/>
      <c r="O106" s="789"/>
      <c r="P106" s="80">
        <v>112.2</v>
      </c>
      <c r="Q106" s="834"/>
      <c r="R106" s="789"/>
      <c r="S106" s="80">
        <v>0.99</v>
      </c>
      <c r="T106" s="834"/>
      <c r="U106" s="789"/>
    </row>
    <row r="107" spans="2:21" x14ac:dyDescent="0.25">
      <c r="B107" s="648"/>
      <c r="C107" s="648"/>
      <c r="D107" s="628"/>
      <c r="E107" s="669"/>
      <c r="F107" s="4">
        <v>3</v>
      </c>
      <c r="G107">
        <f>6.3*(294.74/1024)</f>
        <v>1.8133417968750001</v>
      </c>
      <c r="H107" s="834"/>
      <c r="I107" s="789"/>
      <c r="J107">
        <f>76*(294.74/1024)</f>
        <v>21.875234375000002</v>
      </c>
      <c r="K107" s="834"/>
      <c r="L107" s="789"/>
      <c r="M107" s="80">
        <v>0.92</v>
      </c>
      <c r="N107" s="834"/>
      <c r="O107" s="789"/>
      <c r="P107" s="80">
        <v>89.7</v>
      </c>
      <c r="Q107" s="834"/>
      <c r="R107" s="789"/>
      <c r="S107" s="80">
        <v>0.99</v>
      </c>
      <c r="T107" s="834"/>
      <c r="U107" s="789"/>
    </row>
    <row r="108" spans="2:21" x14ac:dyDescent="0.25">
      <c r="B108" s="648"/>
      <c r="C108" s="648"/>
      <c r="D108" s="628"/>
      <c r="E108" s="669"/>
      <c r="F108" s="4">
        <v>4</v>
      </c>
      <c r="G108">
        <f>6.4*(294.74/1024)</f>
        <v>1.8421250000000002</v>
      </c>
      <c r="H108" s="834"/>
      <c r="I108" s="789"/>
      <c r="J108">
        <f>108.5*(294.74/1024)</f>
        <v>31.229775390625001</v>
      </c>
      <c r="K108" s="834"/>
      <c r="L108" s="789"/>
      <c r="M108" s="80">
        <v>0.93</v>
      </c>
      <c r="N108" s="834"/>
      <c r="O108" s="789"/>
      <c r="P108" s="80">
        <v>91.8</v>
      </c>
      <c r="Q108" s="834"/>
      <c r="R108" s="789"/>
      <c r="S108" s="80">
        <v>1</v>
      </c>
      <c r="T108" s="834"/>
      <c r="U108" s="789"/>
    </row>
    <row r="109" spans="2:21" x14ac:dyDescent="0.25">
      <c r="B109" s="648"/>
      <c r="C109" s="648"/>
      <c r="D109" s="628"/>
      <c r="E109" s="670"/>
      <c r="F109" s="165">
        <v>5</v>
      </c>
      <c r="G109" s="257">
        <f>6.2*(294.74/1024)</f>
        <v>1.7845585937500001</v>
      </c>
      <c r="H109" s="836"/>
      <c r="I109" s="789"/>
      <c r="J109" s="257">
        <f>108.3*(294.74/1024)</f>
        <v>31.172208984375001</v>
      </c>
      <c r="K109" s="836"/>
      <c r="L109" s="789"/>
      <c r="M109" s="257">
        <v>0.94</v>
      </c>
      <c r="N109" s="836"/>
      <c r="O109" s="789"/>
      <c r="P109" s="257">
        <v>84.8</v>
      </c>
      <c r="Q109" s="836"/>
      <c r="R109" s="789"/>
      <c r="S109" s="257">
        <v>0.98</v>
      </c>
      <c r="T109" s="836"/>
      <c r="U109" s="789"/>
    </row>
    <row r="110" spans="2:21" x14ac:dyDescent="0.25">
      <c r="B110" s="648"/>
      <c r="C110" s="648"/>
      <c r="D110" s="628"/>
      <c r="E110" s="669">
        <v>4</v>
      </c>
      <c r="F110" s="4">
        <v>1</v>
      </c>
      <c r="G110">
        <f>6.3*(294.74/1024)</f>
        <v>1.8133417968750001</v>
      </c>
      <c r="H110" s="834">
        <f>AVERAGE(G110:G114)</f>
        <v>1.7903152343750002</v>
      </c>
      <c r="I110" s="789"/>
      <c r="J110">
        <f>108.4*(294.74/1024)</f>
        <v>31.200992187500002</v>
      </c>
      <c r="K110" s="834">
        <f>AVERAGE(J110:J114)</f>
        <v>32.835878125000008</v>
      </c>
      <c r="L110" s="789"/>
      <c r="M110" s="80">
        <v>0.93</v>
      </c>
      <c r="N110" s="834">
        <f>AVERAGE(M110:M114)</f>
        <v>0.93399999999999994</v>
      </c>
      <c r="O110" s="789"/>
      <c r="P110" s="80">
        <v>82.3</v>
      </c>
      <c r="Q110" s="834">
        <f>AVERAGE(P110:P114)</f>
        <v>94.759999999999991</v>
      </c>
      <c r="R110" s="789"/>
      <c r="S110" s="80">
        <v>0.98</v>
      </c>
      <c r="T110" s="834">
        <f>AVERAGE(S110:S114)</f>
        <v>0.98799999999999988</v>
      </c>
      <c r="U110" s="789"/>
    </row>
    <row r="111" spans="2:21" x14ac:dyDescent="0.25">
      <c r="B111" s="648"/>
      <c r="C111" s="648"/>
      <c r="D111" s="628"/>
      <c r="E111" s="669"/>
      <c r="F111" s="4">
        <v>2</v>
      </c>
      <c r="G111">
        <f>5.8*(294.74/1024)</f>
        <v>1.66942578125</v>
      </c>
      <c r="H111" s="834"/>
      <c r="I111" s="789"/>
      <c r="J111">
        <f>155.3*(294.74/1024)</f>
        <v>44.700314453125003</v>
      </c>
      <c r="K111" s="834"/>
      <c r="L111" s="789"/>
      <c r="M111" s="80">
        <v>0.95</v>
      </c>
      <c r="N111" s="834"/>
      <c r="O111" s="789"/>
      <c r="P111" s="80">
        <v>109.9</v>
      </c>
      <c r="Q111" s="834"/>
      <c r="R111" s="789"/>
      <c r="S111" s="80">
        <v>1</v>
      </c>
      <c r="T111" s="834"/>
      <c r="U111" s="789"/>
    </row>
    <row r="112" spans="2:21" x14ac:dyDescent="0.25">
      <c r="B112" s="648"/>
      <c r="C112" s="648"/>
      <c r="D112" s="628"/>
      <c r="E112" s="669"/>
      <c r="F112" s="4">
        <v>3</v>
      </c>
      <c r="G112">
        <f>6.2*(294.74/1024)</f>
        <v>1.7845585937500001</v>
      </c>
      <c r="H112" s="834"/>
      <c r="I112" s="789"/>
      <c r="J112">
        <f>120.8*(294.74/1024)</f>
        <v>34.770109374999997</v>
      </c>
      <c r="K112" s="834"/>
      <c r="L112" s="789"/>
      <c r="M112" s="80">
        <v>0.94</v>
      </c>
      <c r="N112" s="834"/>
      <c r="O112" s="789"/>
      <c r="P112" s="80">
        <v>97</v>
      </c>
      <c r="Q112" s="834"/>
      <c r="R112" s="789"/>
      <c r="S112" s="80">
        <v>0.99</v>
      </c>
      <c r="T112" s="834"/>
      <c r="U112" s="789"/>
    </row>
    <row r="113" spans="2:26" x14ac:dyDescent="0.25">
      <c r="B113" s="648"/>
      <c r="C113" s="648"/>
      <c r="D113" s="628"/>
      <c r="E113" s="669"/>
      <c r="F113" s="4">
        <v>4</v>
      </c>
      <c r="G113">
        <f>6.3*(294.74/1024)</f>
        <v>1.8133417968750001</v>
      </c>
      <c r="H113" s="834"/>
      <c r="I113" s="789"/>
      <c r="J113">
        <f>94.1*(294.74/1024)</f>
        <v>27.084994140625</v>
      </c>
      <c r="K113" s="834"/>
      <c r="L113" s="789"/>
      <c r="M113" s="80">
        <v>0.92</v>
      </c>
      <c r="N113" s="834"/>
      <c r="O113" s="789"/>
      <c r="P113" s="80">
        <v>97.6</v>
      </c>
      <c r="Q113" s="834"/>
      <c r="R113" s="789"/>
      <c r="S113" s="80">
        <v>0.99</v>
      </c>
      <c r="T113" s="834"/>
      <c r="U113" s="789"/>
    </row>
    <row r="114" spans="2:26" ht="15.75" thickBot="1" x14ac:dyDescent="0.3">
      <c r="B114" s="648"/>
      <c r="C114" s="648"/>
      <c r="D114" s="629"/>
      <c r="E114" s="684"/>
      <c r="F114" s="7">
        <v>5</v>
      </c>
      <c r="G114" s="6">
        <f>6.5*(294.74/1024)</f>
        <v>1.8709082031249999</v>
      </c>
      <c r="H114" s="835"/>
      <c r="I114" s="790"/>
      <c r="J114" s="6">
        <f>91.8*(294.74/1024)</f>
        <v>26.422980468750001</v>
      </c>
      <c r="K114" s="835"/>
      <c r="L114" s="790"/>
      <c r="M114" s="81">
        <v>0.93</v>
      </c>
      <c r="N114" s="835"/>
      <c r="O114" s="790"/>
      <c r="P114" s="81">
        <v>87</v>
      </c>
      <c r="Q114" s="835"/>
      <c r="R114" s="790"/>
      <c r="S114" s="81">
        <v>0.98</v>
      </c>
      <c r="T114" s="835"/>
      <c r="U114" s="790"/>
    </row>
    <row r="115" spans="2:26" x14ac:dyDescent="0.25">
      <c r="B115" s="648"/>
      <c r="C115" s="648"/>
      <c r="D115" s="627" t="s">
        <v>277</v>
      </c>
      <c r="E115" s="665">
        <v>1</v>
      </c>
      <c r="F115" s="9">
        <v>1</v>
      </c>
      <c r="G115" s="8">
        <f>6.5*(294.74/1024)</f>
        <v>1.8709082031249999</v>
      </c>
      <c r="H115" s="837">
        <f>AVERAGE(G115:G117)</f>
        <v>1.7749641927083335</v>
      </c>
      <c r="I115" s="832">
        <f>AVERAGE(H115:H123)</f>
        <v>1.8485212673611111</v>
      </c>
      <c r="J115" s="8">
        <f>142.2*(294.74/1024)</f>
        <v>40.929714843749998</v>
      </c>
      <c r="K115" s="837">
        <f>AVERAGE(J115:J117)</f>
        <v>31.891789062499999</v>
      </c>
      <c r="L115" s="832">
        <f>AVERAGE(K115:K123)</f>
        <v>29.985701388888888</v>
      </c>
      <c r="M115" s="375">
        <v>0.94</v>
      </c>
      <c r="N115" s="837">
        <f>AVERAGE(M115:M117)</f>
        <v>0.93</v>
      </c>
      <c r="O115" s="832">
        <f>AVERAGE(N115:N123)</f>
        <v>0.93</v>
      </c>
      <c r="P115" s="375">
        <v>85.5</v>
      </c>
      <c r="Q115" s="837">
        <f>AVERAGE(P115:P117)</f>
        <v>81.833333333333329</v>
      </c>
      <c r="R115" s="832">
        <f>AVERAGE(Q115:Q123)</f>
        <v>89.055555555555543</v>
      </c>
      <c r="S115" s="375">
        <v>0.99</v>
      </c>
      <c r="T115" s="837">
        <f>AVERAGE(S115:S117)</f>
        <v>0.98</v>
      </c>
      <c r="U115" s="832">
        <f>AVERAGE(T115:T123)</f>
        <v>0.96333333333333326</v>
      </c>
    </row>
    <row r="116" spans="2:26" x14ac:dyDescent="0.25">
      <c r="B116" s="648"/>
      <c r="C116" s="648"/>
      <c r="D116" s="628"/>
      <c r="E116" s="666"/>
      <c r="F116" s="4">
        <v>2</v>
      </c>
      <c r="G116">
        <f>6.5*(294.74/1024)</f>
        <v>1.8709082031249999</v>
      </c>
      <c r="H116" s="834"/>
      <c r="I116" s="789"/>
      <c r="J116">
        <f>102.8*(294.74/1024)</f>
        <v>29.589132812500001</v>
      </c>
      <c r="K116" s="834"/>
      <c r="L116" s="789"/>
      <c r="M116" s="80">
        <v>0.93</v>
      </c>
      <c r="N116" s="834"/>
      <c r="O116" s="789"/>
      <c r="P116" s="80">
        <v>80.599999999999994</v>
      </c>
      <c r="Q116" s="834"/>
      <c r="R116" s="789"/>
      <c r="S116" s="80">
        <v>0.99</v>
      </c>
      <c r="T116" s="834"/>
      <c r="U116" s="789"/>
    </row>
    <row r="117" spans="2:26" x14ac:dyDescent="0.25">
      <c r="B117" s="648"/>
      <c r="C117" s="648"/>
      <c r="D117" s="628"/>
      <c r="E117" s="745"/>
      <c r="F117" s="165">
        <v>3</v>
      </c>
      <c r="G117" s="257">
        <f>5.5*(294.74/1024)</f>
        <v>1.5830761718750002</v>
      </c>
      <c r="H117" s="836"/>
      <c r="I117" s="789"/>
      <c r="J117" s="257">
        <f>87.4*(294.74/1024)</f>
        <v>25.156519531250002</v>
      </c>
      <c r="K117" s="836"/>
      <c r="L117" s="789"/>
      <c r="M117" s="257">
        <v>0.92</v>
      </c>
      <c r="N117" s="836"/>
      <c r="O117" s="789"/>
      <c r="P117" s="257">
        <v>79.400000000000006</v>
      </c>
      <c r="Q117" s="836"/>
      <c r="R117" s="789"/>
      <c r="S117" s="257">
        <v>0.96</v>
      </c>
      <c r="T117" s="836"/>
      <c r="U117" s="789"/>
    </row>
    <row r="118" spans="2:26" x14ac:dyDescent="0.25">
      <c r="B118" s="648"/>
      <c r="C118" s="648"/>
      <c r="D118" s="628"/>
      <c r="E118" s="666">
        <v>2</v>
      </c>
      <c r="F118" s="4">
        <v>1</v>
      </c>
      <c r="G118">
        <f>6.5*(294.74/1024)</f>
        <v>1.8709082031249999</v>
      </c>
      <c r="H118" s="833">
        <f>AVERAGE(G118:G120)</f>
        <v>1.8613138020833333</v>
      </c>
      <c r="I118" s="789"/>
      <c r="J118">
        <f>134.2*(294.74/1024)</f>
        <v>38.62705859375</v>
      </c>
      <c r="K118" s="833">
        <f>AVERAGE(J118:J120)</f>
        <v>34.530249348958336</v>
      </c>
      <c r="L118" s="789"/>
      <c r="M118" s="80">
        <v>0.94</v>
      </c>
      <c r="N118" s="833">
        <f>AVERAGE(M118:M120)</f>
        <v>0.94</v>
      </c>
      <c r="O118" s="789"/>
      <c r="P118" s="80">
        <v>92.9</v>
      </c>
      <c r="Q118" s="833">
        <f>AVERAGE(P118:P120)</f>
        <v>89.633333333333326</v>
      </c>
      <c r="R118" s="789"/>
      <c r="S118" s="80">
        <v>0.97</v>
      </c>
      <c r="T118" s="833">
        <f>AVERAGE(S118:S120)</f>
        <v>0.94</v>
      </c>
      <c r="U118" s="789"/>
      <c r="W118" s="124"/>
    </row>
    <row r="119" spans="2:26" x14ac:dyDescent="0.25">
      <c r="B119" s="648"/>
      <c r="C119" s="648"/>
      <c r="D119" s="628"/>
      <c r="E119" s="666"/>
      <c r="F119" s="4">
        <v>2</v>
      </c>
      <c r="G119">
        <f>6.4*(294.74/1024)</f>
        <v>1.8421250000000002</v>
      </c>
      <c r="H119" s="834"/>
      <c r="I119" s="789"/>
      <c r="J119">
        <f>113.9*(294.74/1024)</f>
        <v>32.784068359375006</v>
      </c>
      <c r="K119" s="834"/>
      <c r="L119" s="789"/>
      <c r="M119" s="80">
        <v>0.94</v>
      </c>
      <c r="N119" s="834"/>
      <c r="O119" s="789"/>
      <c r="P119" s="80">
        <v>89.9</v>
      </c>
      <c r="Q119" s="834"/>
      <c r="R119" s="789"/>
      <c r="S119" s="80">
        <v>0.99</v>
      </c>
      <c r="T119" s="834"/>
      <c r="U119" s="789"/>
      <c r="W119" s="124"/>
    </row>
    <row r="120" spans="2:26" x14ac:dyDescent="0.25">
      <c r="B120" s="648"/>
      <c r="C120" s="648"/>
      <c r="D120" s="628"/>
      <c r="E120" s="745"/>
      <c r="F120" s="165">
        <v>3</v>
      </c>
      <c r="G120" s="257">
        <f>6.5*(294.74/1024)</f>
        <v>1.8709082031249999</v>
      </c>
      <c r="H120" s="836"/>
      <c r="I120" s="789"/>
      <c r="J120" s="257">
        <f>111.8*(294.74/1024)</f>
        <v>32.179621093750001</v>
      </c>
      <c r="K120" s="836"/>
      <c r="L120" s="789"/>
      <c r="M120" s="257">
        <v>0.94</v>
      </c>
      <c r="N120" s="836"/>
      <c r="O120" s="789"/>
      <c r="P120" s="257">
        <v>86.1</v>
      </c>
      <c r="Q120" s="836"/>
      <c r="R120" s="789"/>
      <c r="S120" s="257">
        <v>0.86</v>
      </c>
      <c r="T120" s="836"/>
      <c r="U120" s="789"/>
      <c r="W120" s="124"/>
      <c r="Y120" s="124"/>
      <c r="Z120" s="124"/>
    </row>
    <row r="121" spans="2:26" x14ac:dyDescent="0.25">
      <c r="B121" s="648"/>
      <c r="C121" s="648"/>
      <c r="D121" s="628"/>
      <c r="E121" s="666">
        <v>3</v>
      </c>
      <c r="F121" s="4">
        <v>1</v>
      </c>
      <c r="G121">
        <f>6.6*(294.74/1024)</f>
        <v>1.8996914062499999</v>
      </c>
      <c r="H121" s="834">
        <f>AVERAGE(G121:G123)</f>
        <v>1.9092858072916667</v>
      </c>
      <c r="I121" s="789"/>
      <c r="J121">
        <f>80.3*(294.74/1024)</f>
        <v>23.112912109374999</v>
      </c>
      <c r="K121" s="834">
        <f>AVERAGE(J121:J123)</f>
        <v>23.535065755208333</v>
      </c>
      <c r="L121" s="789"/>
      <c r="M121" s="80">
        <v>0.92</v>
      </c>
      <c r="N121" s="834">
        <f>AVERAGE(M121:M123)</f>
        <v>0.92</v>
      </c>
      <c r="O121" s="789"/>
      <c r="P121" s="80">
        <v>97.2</v>
      </c>
      <c r="Q121" s="834">
        <f>AVERAGE(P121:P123)</f>
        <v>95.7</v>
      </c>
      <c r="R121" s="789"/>
      <c r="S121" s="80">
        <v>0.97</v>
      </c>
      <c r="T121" s="834">
        <f>AVERAGE(S121:S123)</f>
        <v>0.97</v>
      </c>
      <c r="U121" s="789"/>
      <c r="W121" s="124"/>
      <c r="Y121" s="124"/>
      <c r="Z121" s="124"/>
    </row>
    <row r="122" spans="2:26" x14ac:dyDescent="0.25">
      <c r="B122" s="648"/>
      <c r="C122" s="648"/>
      <c r="D122" s="628"/>
      <c r="E122" s="666"/>
      <c r="F122" s="4">
        <v>2</v>
      </c>
      <c r="G122">
        <f>6.7*(294.74/1024)</f>
        <v>1.928474609375</v>
      </c>
      <c r="H122" s="834"/>
      <c r="I122" s="789"/>
      <c r="J122">
        <f>74*(294.74/1024)</f>
        <v>21.299570312500002</v>
      </c>
      <c r="K122" s="834"/>
      <c r="L122" s="789"/>
      <c r="M122" s="80">
        <v>0.92</v>
      </c>
      <c r="N122" s="834"/>
      <c r="O122" s="789"/>
      <c r="P122" s="80">
        <v>94.3</v>
      </c>
      <c r="Q122" s="834"/>
      <c r="R122" s="789"/>
      <c r="S122" s="80">
        <v>0.97</v>
      </c>
      <c r="T122" s="834"/>
      <c r="U122" s="789"/>
      <c r="W122" s="124"/>
      <c r="Y122" s="124"/>
      <c r="Z122" s="124"/>
    </row>
    <row r="123" spans="2:26" ht="15.75" thickBot="1" x14ac:dyDescent="0.3">
      <c r="B123" s="656"/>
      <c r="C123" s="656"/>
      <c r="D123" s="629"/>
      <c r="E123" s="683"/>
      <c r="F123" s="7">
        <v>3</v>
      </c>
      <c r="G123" s="6">
        <f>6.6*(294.74/1024)</f>
        <v>1.8996914062499999</v>
      </c>
      <c r="H123" s="835"/>
      <c r="I123" s="790"/>
      <c r="J123" s="6">
        <f>91*(294.74/1024)</f>
        <v>26.19271484375</v>
      </c>
      <c r="K123" s="835"/>
      <c r="L123" s="790"/>
      <c r="M123" s="81">
        <v>0.92</v>
      </c>
      <c r="N123" s="835"/>
      <c r="O123" s="790"/>
      <c r="P123" s="81">
        <v>95.6</v>
      </c>
      <c r="Q123" s="835"/>
      <c r="R123" s="790"/>
      <c r="S123" s="81"/>
      <c r="T123" s="835"/>
      <c r="U123" s="790"/>
      <c r="W123" s="124"/>
      <c r="Y123" s="124"/>
      <c r="Z123" s="124"/>
    </row>
    <row r="124" spans="2:26" x14ac:dyDescent="0.25">
      <c r="B124" s="647" t="s">
        <v>229</v>
      </c>
      <c r="C124" s="647" t="s">
        <v>144</v>
      </c>
      <c r="D124" s="627" t="s">
        <v>240</v>
      </c>
      <c r="E124" s="701">
        <v>1</v>
      </c>
      <c r="F124" s="9">
        <v>1</v>
      </c>
      <c r="G124" s="8">
        <f>6.5*(294.74/1024)</f>
        <v>1.8709082031249999</v>
      </c>
      <c r="H124" s="837">
        <f>AVERAGE(G124:G127)</f>
        <v>1.8277333984374999</v>
      </c>
      <c r="I124" s="832">
        <f>AVERAGE(H124:H137)</f>
        <v>1.8104634765625001</v>
      </c>
      <c r="J124" s="8">
        <f>89.7*(294.74/1024)</f>
        <v>25.818533203125</v>
      </c>
      <c r="K124" s="837">
        <f>AVERAGE(J124:J127)</f>
        <v>31.013901367187501</v>
      </c>
      <c r="L124" s="832">
        <f>AVERAGE(K124:K137)</f>
        <v>31.560782226562505</v>
      </c>
      <c r="M124" s="375">
        <v>0.93</v>
      </c>
      <c r="N124" s="837">
        <f>AVERAGE(M124:M127)</f>
        <v>0.93</v>
      </c>
      <c r="O124" s="832">
        <f>AVERAGE(N124:N137)</f>
        <v>0.93199999999999994</v>
      </c>
      <c r="P124" s="375">
        <v>87.8</v>
      </c>
      <c r="Q124" s="837">
        <f>AVERAGE(P124:P127)</f>
        <v>92</v>
      </c>
      <c r="R124" s="832">
        <f>AVERAGE(Q124:Q137)</f>
        <v>92.286666666666676</v>
      </c>
      <c r="S124" s="375">
        <v>0.99</v>
      </c>
      <c r="T124" s="837">
        <f>AVERAGE(S124:S127)</f>
        <v>0.98250000000000004</v>
      </c>
      <c r="U124" s="832">
        <f>AVERAGE(T124:T137)</f>
        <v>0.98383333333333345</v>
      </c>
      <c r="W124" s="124"/>
      <c r="Y124" s="124"/>
      <c r="Z124" s="124"/>
    </row>
    <row r="125" spans="2:26" x14ac:dyDescent="0.25">
      <c r="B125" s="648"/>
      <c r="C125" s="648"/>
      <c r="D125" s="628"/>
      <c r="E125" s="669"/>
      <c r="F125" s="4">
        <v>2</v>
      </c>
      <c r="G125">
        <f>6.6*(294.74/1024)</f>
        <v>1.8996914062499999</v>
      </c>
      <c r="H125" s="834"/>
      <c r="I125" s="789"/>
      <c r="J125">
        <f>77.3*(294.74/1024)</f>
        <v>22.249416015624998</v>
      </c>
      <c r="K125" s="834"/>
      <c r="L125" s="789"/>
      <c r="M125" s="80">
        <v>0.91</v>
      </c>
      <c r="N125" s="834"/>
      <c r="O125" s="789"/>
      <c r="P125" s="80">
        <v>83.6</v>
      </c>
      <c r="Q125" s="834"/>
      <c r="R125" s="789"/>
      <c r="S125" s="80">
        <v>0.98</v>
      </c>
      <c r="T125" s="834"/>
      <c r="U125" s="789"/>
      <c r="W125" s="124"/>
      <c r="Y125" s="124"/>
      <c r="Z125" s="124"/>
    </row>
    <row r="126" spans="2:26" x14ac:dyDescent="0.25">
      <c r="B126" s="648"/>
      <c r="C126" s="648"/>
      <c r="D126" s="628"/>
      <c r="E126" s="669"/>
      <c r="F126" s="4">
        <v>3</v>
      </c>
      <c r="G126">
        <f>6.1*(294.74/1024)</f>
        <v>1.755775390625</v>
      </c>
      <c r="H126" s="834"/>
      <c r="I126" s="789"/>
      <c r="J126">
        <f>149*(294.74/1024)</f>
        <v>42.886972656250002</v>
      </c>
      <c r="K126" s="834"/>
      <c r="L126" s="789"/>
      <c r="M126" s="80">
        <v>0.95</v>
      </c>
      <c r="N126" s="834"/>
      <c r="O126" s="789"/>
      <c r="P126" s="80">
        <v>100.8</v>
      </c>
      <c r="Q126" s="834"/>
      <c r="R126" s="789"/>
      <c r="S126" s="80">
        <v>0.98</v>
      </c>
      <c r="T126" s="834"/>
      <c r="U126" s="789"/>
      <c r="W126" s="124"/>
      <c r="Y126" s="124"/>
      <c r="Z126" s="124"/>
    </row>
    <row r="127" spans="2:26" x14ac:dyDescent="0.25">
      <c r="B127" s="648"/>
      <c r="C127" s="648"/>
      <c r="D127" s="628"/>
      <c r="E127" s="670"/>
      <c r="F127" s="165">
        <v>4</v>
      </c>
      <c r="G127" s="257">
        <f>6.2*(294.74/1024)</f>
        <v>1.7845585937500001</v>
      </c>
      <c r="H127" s="836"/>
      <c r="I127" s="789"/>
      <c r="J127" s="257">
        <f>115*(294.74/1024)</f>
        <v>33.100683593749999</v>
      </c>
      <c r="K127" s="836"/>
      <c r="L127" s="789"/>
      <c r="M127" s="257">
        <v>0.93</v>
      </c>
      <c r="N127" s="836"/>
      <c r="O127" s="789"/>
      <c r="P127" s="257">
        <v>95.8</v>
      </c>
      <c r="Q127" s="836"/>
      <c r="R127" s="789"/>
      <c r="S127" s="257">
        <v>0.98</v>
      </c>
      <c r="T127" s="836"/>
      <c r="U127" s="789"/>
      <c r="W127" s="124"/>
      <c r="Y127" s="124"/>
      <c r="Z127" s="124"/>
    </row>
    <row r="128" spans="2:26" x14ac:dyDescent="0.25">
      <c r="B128" s="648"/>
      <c r="C128" s="648"/>
      <c r="D128" s="628"/>
      <c r="E128" s="669">
        <v>2</v>
      </c>
      <c r="F128" s="4">
        <v>1</v>
      </c>
      <c r="G128">
        <f>6.1*(294.74/1024)</f>
        <v>1.755775390625</v>
      </c>
      <c r="H128" s="834">
        <f>AVERAGE(G128:G132)</f>
        <v>1.8133417968749999</v>
      </c>
      <c r="I128" s="789"/>
      <c r="J128">
        <f>105.2*(294.74/1024)</f>
        <v>30.279929687500001</v>
      </c>
      <c r="K128" s="834">
        <f>AVERAGE(J128:J132)</f>
        <v>33.187033203125004</v>
      </c>
      <c r="L128" s="789"/>
      <c r="M128" s="80">
        <v>0.93</v>
      </c>
      <c r="N128" s="834">
        <f>AVERAGE(M128:M132)</f>
        <v>0.93399999999999994</v>
      </c>
      <c r="O128" s="789"/>
      <c r="P128" s="80">
        <v>93</v>
      </c>
      <c r="Q128" s="834">
        <f>AVERAGE(P128:P132)</f>
        <v>88.6</v>
      </c>
      <c r="R128" s="789"/>
      <c r="S128" s="80">
        <v>0.98</v>
      </c>
      <c r="T128" s="834">
        <f>AVERAGE(S128:S132)</f>
        <v>0.98399999999999999</v>
      </c>
      <c r="U128" s="789"/>
      <c r="W128" s="124"/>
      <c r="Y128" s="124"/>
      <c r="Z128" s="124"/>
    </row>
    <row r="129" spans="2:26" x14ac:dyDescent="0.25">
      <c r="B129" s="648"/>
      <c r="C129" s="648"/>
      <c r="D129" s="628"/>
      <c r="E129" s="669"/>
      <c r="F129" s="4">
        <v>2</v>
      </c>
      <c r="G129">
        <f>6.1*(294.74/1024)</f>
        <v>1.755775390625</v>
      </c>
      <c r="H129" s="834"/>
      <c r="I129" s="789"/>
      <c r="J129">
        <f>161.3*(294.74/1024)</f>
        <v>46.427306640625005</v>
      </c>
      <c r="K129" s="834"/>
      <c r="L129" s="789"/>
      <c r="M129" s="80">
        <v>0.95</v>
      </c>
      <c r="N129" s="834"/>
      <c r="O129" s="789"/>
      <c r="P129" s="80">
        <v>88</v>
      </c>
      <c r="Q129" s="834"/>
      <c r="R129" s="789"/>
      <c r="S129" s="80">
        <v>0.99</v>
      </c>
      <c r="T129" s="834"/>
      <c r="U129" s="789"/>
      <c r="W129" s="124"/>
      <c r="Y129" s="124"/>
      <c r="Z129" s="124"/>
    </row>
    <row r="130" spans="2:26" x14ac:dyDescent="0.25">
      <c r="B130" s="648"/>
      <c r="C130" s="648"/>
      <c r="D130" s="628"/>
      <c r="E130" s="669"/>
      <c r="F130" s="4">
        <v>3</v>
      </c>
      <c r="G130">
        <f>6.6*(294.74/1024)</f>
        <v>1.8996914062499999</v>
      </c>
      <c r="H130" s="834"/>
      <c r="I130" s="789"/>
      <c r="J130">
        <f>151.5*(294.74/1024)</f>
        <v>43.606552734375001</v>
      </c>
      <c r="K130" s="834"/>
      <c r="L130" s="789"/>
      <c r="M130" s="80">
        <v>0.95</v>
      </c>
      <c r="N130" s="834"/>
      <c r="O130" s="789"/>
      <c r="P130" s="80">
        <v>88.8</v>
      </c>
      <c r="Q130" s="834"/>
      <c r="R130" s="789"/>
      <c r="S130" s="80">
        <v>0.98</v>
      </c>
      <c r="T130" s="834"/>
      <c r="U130" s="789"/>
      <c r="W130" s="124"/>
      <c r="Y130" s="124"/>
      <c r="Z130" s="124"/>
    </row>
    <row r="131" spans="2:26" x14ac:dyDescent="0.25">
      <c r="B131" s="648"/>
      <c r="C131" s="648"/>
      <c r="D131" s="628"/>
      <c r="E131" s="669"/>
      <c r="F131" s="4">
        <v>4</v>
      </c>
      <c r="G131">
        <f>6.6*(294.74/1024)</f>
        <v>1.8996914062499999</v>
      </c>
      <c r="H131" s="834"/>
      <c r="I131" s="789"/>
      <c r="J131">
        <f>77.8*(294.74/1024)</f>
        <v>22.393332031250001</v>
      </c>
      <c r="K131" s="834"/>
      <c r="L131" s="789"/>
      <c r="M131" s="80">
        <v>0.92</v>
      </c>
      <c r="N131" s="834"/>
      <c r="O131" s="789"/>
      <c r="P131" s="80">
        <v>88.1</v>
      </c>
      <c r="Q131" s="834"/>
      <c r="R131" s="789"/>
      <c r="S131" s="80">
        <v>0.99</v>
      </c>
      <c r="T131" s="834"/>
      <c r="U131" s="789"/>
      <c r="W131" s="124"/>
      <c r="Y131" s="124"/>
      <c r="Z131" s="124"/>
    </row>
    <row r="132" spans="2:26" x14ac:dyDescent="0.25">
      <c r="B132" s="648"/>
      <c r="C132" s="648"/>
      <c r="D132" s="628"/>
      <c r="E132" s="670"/>
      <c r="F132" s="165">
        <v>5</v>
      </c>
      <c r="G132" s="257">
        <f>6.1*(294.74/1024)</f>
        <v>1.755775390625</v>
      </c>
      <c r="H132" s="836"/>
      <c r="I132" s="789"/>
      <c r="J132" s="257">
        <f>80.7*(294.74/1024)</f>
        <v>23.228044921875</v>
      </c>
      <c r="K132" s="836"/>
      <c r="L132" s="789"/>
      <c r="M132" s="257">
        <v>0.92</v>
      </c>
      <c r="N132" s="836"/>
      <c r="O132" s="789"/>
      <c r="P132" s="257">
        <v>85.1</v>
      </c>
      <c r="Q132" s="836"/>
      <c r="R132" s="789"/>
      <c r="S132" s="257">
        <v>0.98</v>
      </c>
      <c r="T132" s="836"/>
      <c r="U132" s="789"/>
      <c r="W132" s="124"/>
      <c r="Y132" s="124"/>
      <c r="Z132" s="124"/>
    </row>
    <row r="133" spans="2:26" x14ac:dyDescent="0.25">
      <c r="B133" s="648"/>
      <c r="C133" s="648"/>
      <c r="D133" s="628"/>
      <c r="E133" s="669">
        <v>3</v>
      </c>
      <c r="F133" s="4">
        <v>1</v>
      </c>
      <c r="G133">
        <f>6.1*(294.74/1024)</f>
        <v>1.755775390625</v>
      </c>
      <c r="H133" s="834">
        <f>AVERAGE(G133:G137)</f>
        <v>1.7903152343750002</v>
      </c>
      <c r="I133" s="789"/>
      <c r="J133">
        <f>120.4*(294.74/1024)</f>
        <v>34.654976562500003</v>
      </c>
      <c r="K133" s="834">
        <f>AVERAGE(J133:J137)</f>
        <v>30.481412109375004</v>
      </c>
      <c r="L133" s="789"/>
      <c r="M133" s="80">
        <v>0.94</v>
      </c>
      <c r="N133" s="834">
        <f>AVERAGE(M133:M137)</f>
        <v>0.93200000000000005</v>
      </c>
      <c r="O133" s="789"/>
      <c r="P133" s="80">
        <v>98.4</v>
      </c>
      <c r="Q133" s="834">
        <f>AVERAGE(P133:P137)</f>
        <v>96.259999999999991</v>
      </c>
      <c r="R133" s="789"/>
      <c r="S133" s="80">
        <v>0.98</v>
      </c>
      <c r="T133" s="834">
        <f>AVERAGE(S133:S137)</f>
        <v>0.9850000000000001</v>
      </c>
      <c r="U133" s="789"/>
      <c r="W133" s="124"/>
      <c r="Y133" s="124"/>
      <c r="Z133" s="124"/>
    </row>
    <row r="134" spans="2:26" x14ac:dyDescent="0.25">
      <c r="B134" s="648"/>
      <c r="C134" s="648"/>
      <c r="D134" s="628"/>
      <c r="E134" s="669"/>
      <c r="F134" s="4">
        <v>2</v>
      </c>
      <c r="G134">
        <f>6.2*(294.74/1024)</f>
        <v>1.7845585937500001</v>
      </c>
      <c r="H134" s="834"/>
      <c r="I134" s="789"/>
      <c r="J134">
        <f>114.3*(294.74/1024)</f>
        <v>32.899201171874999</v>
      </c>
      <c r="K134" s="834"/>
      <c r="L134" s="789"/>
      <c r="M134" s="80">
        <v>0.94</v>
      </c>
      <c r="N134" s="834"/>
      <c r="O134" s="789"/>
      <c r="P134" s="80">
        <v>100.1</v>
      </c>
      <c r="Q134" s="834"/>
      <c r="R134" s="789"/>
      <c r="S134" s="80">
        <v>0.99</v>
      </c>
      <c r="T134" s="834"/>
      <c r="U134" s="789"/>
      <c r="W134" s="124"/>
      <c r="Y134" s="124"/>
      <c r="Z134" s="124"/>
    </row>
    <row r="135" spans="2:26" x14ac:dyDescent="0.25">
      <c r="B135" s="648"/>
      <c r="C135" s="648"/>
      <c r="D135" s="628"/>
      <c r="E135" s="669"/>
      <c r="F135" s="4">
        <v>3</v>
      </c>
      <c r="G135">
        <f>6.4*(294.74/1024)</f>
        <v>1.8421250000000002</v>
      </c>
      <c r="H135" s="834"/>
      <c r="I135" s="789"/>
      <c r="J135">
        <f>128.8*(294.74/1024)</f>
        <v>37.072765625000002</v>
      </c>
      <c r="K135" s="834"/>
      <c r="L135" s="789"/>
      <c r="M135" s="80">
        <v>0.94</v>
      </c>
      <c r="N135" s="834"/>
      <c r="O135" s="789"/>
      <c r="P135" s="80">
        <v>98.2</v>
      </c>
      <c r="Q135" s="834"/>
      <c r="R135" s="789"/>
      <c r="S135" s="80">
        <v>0.98</v>
      </c>
      <c r="T135" s="834"/>
      <c r="U135" s="789"/>
      <c r="W135" s="124"/>
      <c r="Y135" s="124"/>
      <c r="Z135" s="124"/>
    </row>
    <row r="136" spans="2:26" x14ac:dyDescent="0.25">
      <c r="B136" s="648"/>
      <c r="C136" s="648"/>
      <c r="D136" s="628"/>
      <c r="E136" s="669"/>
      <c r="F136" s="4">
        <v>4</v>
      </c>
      <c r="G136">
        <f>6.5*(294.74/1024)</f>
        <v>1.8709082031249999</v>
      </c>
      <c r="H136" s="834"/>
      <c r="I136" s="789"/>
      <c r="J136">
        <f>78.7*(294.74/1024)</f>
        <v>22.652380859375</v>
      </c>
      <c r="K136" s="834"/>
      <c r="L136" s="789"/>
      <c r="M136" s="80">
        <v>0.92</v>
      </c>
      <c r="N136" s="834"/>
      <c r="O136" s="789"/>
      <c r="P136" s="80">
        <v>99.5</v>
      </c>
      <c r="Q136" s="834"/>
      <c r="R136" s="789"/>
      <c r="S136" s="80">
        <v>0.99</v>
      </c>
      <c r="T136" s="834"/>
      <c r="U136" s="789"/>
      <c r="Y136" s="124"/>
      <c r="Z136" s="124"/>
    </row>
    <row r="137" spans="2:26" ht="15.75" thickBot="1" x14ac:dyDescent="0.3">
      <c r="B137" s="648"/>
      <c r="C137" s="648"/>
      <c r="D137" s="629"/>
      <c r="E137" s="684"/>
      <c r="F137" s="7">
        <v>5</v>
      </c>
      <c r="G137" s="6">
        <f>5.9*(294.74/1024)</f>
        <v>1.6982089843750001</v>
      </c>
      <c r="H137" s="835"/>
      <c r="I137" s="790"/>
      <c r="J137" s="6">
        <f>87.3*(294.74/1024)</f>
        <v>25.127736328125</v>
      </c>
      <c r="K137" s="835"/>
      <c r="L137" s="790"/>
      <c r="M137" s="81">
        <v>0.92</v>
      </c>
      <c r="N137" s="835"/>
      <c r="O137" s="790"/>
      <c r="P137" s="81">
        <v>85.1</v>
      </c>
      <c r="Q137" s="835"/>
      <c r="R137" s="790"/>
      <c r="S137" s="81"/>
      <c r="T137" s="835"/>
      <c r="U137" s="790"/>
      <c r="Y137" s="124"/>
      <c r="Z137" s="124"/>
    </row>
    <row r="138" spans="2:26" x14ac:dyDescent="0.25">
      <c r="B138" s="648"/>
      <c r="C138" s="648"/>
      <c r="D138" s="627" t="s">
        <v>266</v>
      </c>
      <c r="E138" s="665">
        <v>1</v>
      </c>
      <c r="F138" s="9">
        <v>1</v>
      </c>
      <c r="G138" s="8">
        <f>6.5*(294.74/1024)</f>
        <v>1.8709082031249999</v>
      </c>
      <c r="H138" s="837">
        <f>AVERAGE(G138:G139)</f>
        <v>1.8565166015625001</v>
      </c>
      <c r="I138" s="702">
        <f>AVERAGE(H138:H143)</f>
        <v>1.8900970052083332</v>
      </c>
      <c r="J138" s="8">
        <f>75.8*(294.74/1024)</f>
        <v>21.817667968750001</v>
      </c>
      <c r="K138" s="837">
        <f>AVERAGE(J138:J139)</f>
        <v>21.342745117187501</v>
      </c>
      <c r="L138" s="702">
        <f>AVERAGE(K138:K143)</f>
        <v>21.563416341145835</v>
      </c>
      <c r="M138" s="8">
        <v>0.92</v>
      </c>
      <c r="N138" s="837">
        <f>AVERAGE(M138:M139)</f>
        <v>0.92</v>
      </c>
      <c r="O138" s="702">
        <f>AVERAGE(N138:N143)</f>
        <v>0.91666666666666663</v>
      </c>
      <c r="P138" s="8">
        <v>78.2</v>
      </c>
      <c r="Q138" s="837">
        <f>AVERAGE(P138:P139)</f>
        <v>78.849999999999994</v>
      </c>
      <c r="R138" s="702">
        <f>AVERAGE(Q138:Q143)</f>
        <v>80.7</v>
      </c>
      <c r="S138" s="8">
        <v>0.99</v>
      </c>
      <c r="T138" s="837">
        <f>AVERAGE(S138:S139)</f>
        <v>0.995</v>
      </c>
      <c r="U138" s="702">
        <f>AVERAGE(T138:T143)</f>
        <v>0.98333333333333339</v>
      </c>
    </row>
    <row r="139" spans="2:26" x14ac:dyDescent="0.25">
      <c r="B139" s="648"/>
      <c r="C139" s="648"/>
      <c r="D139" s="628"/>
      <c r="E139" s="745"/>
      <c r="F139" s="165">
        <v>2</v>
      </c>
      <c r="G139" s="257">
        <f>6.4*(294.74/1024)</f>
        <v>1.8421250000000002</v>
      </c>
      <c r="H139" s="836"/>
      <c r="I139" s="672"/>
      <c r="J139" s="257">
        <f>72.5*(294.74/1024)</f>
        <v>20.867822265625001</v>
      </c>
      <c r="K139" s="836"/>
      <c r="L139" s="672"/>
      <c r="M139" s="162">
        <v>0.92</v>
      </c>
      <c r="N139" s="836"/>
      <c r="O139" s="672"/>
      <c r="P139" s="162">
        <v>79.5</v>
      </c>
      <c r="Q139" s="836"/>
      <c r="R139" s="672"/>
      <c r="S139" s="162">
        <v>1</v>
      </c>
      <c r="T139" s="836"/>
      <c r="U139" s="672"/>
    </row>
    <row r="140" spans="2:26" x14ac:dyDescent="0.25">
      <c r="B140" s="648"/>
      <c r="C140" s="648"/>
      <c r="D140" s="628"/>
      <c r="E140" s="675">
        <v>2</v>
      </c>
      <c r="F140" s="4">
        <v>1</v>
      </c>
      <c r="G140">
        <f>6.5*(294.74/1024)</f>
        <v>1.8709082031249999</v>
      </c>
      <c r="H140" s="834">
        <f>AVERAGE(G140:G141)</f>
        <v>1.8996914062500001</v>
      </c>
      <c r="I140" s="672"/>
      <c r="J140">
        <f>80*(294.74/1024)</f>
        <v>23.026562500000001</v>
      </c>
      <c r="K140" s="834">
        <f>AVERAGE(J140:J141)</f>
        <v>24.105932617187499</v>
      </c>
      <c r="L140" s="672"/>
      <c r="M140">
        <v>0.92</v>
      </c>
      <c r="N140" s="834">
        <f>AVERAGE(M140:M141)</f>
        <v>0.92</v>
      </c>
      <c r="O140" s="672"/>
      <c r="P140">
        <v>96.4</v>
      </c>
      <c r="Q140" s="834">
        <f>AVERAGE(P140:P141)</f>
        <v>91.050000000000011</v>
      </c>
      <c r="R140" s="672"/>
      <c r="S140">
        <v>0.99</v>
      </c>
      <c r="T140" s="834">
        <f>AVERAGE(S140:S141)</f>
        <v>0.98499999999999999</v>
      </c>
      <c r="U140" s="672"/>
    </row>
    <row r="141" spans="2:26" x14ac:dyDescent="0.25">
      <c r="B141" s="648"/>
      <c r="C141" s="648"/>
      <c r="D141" s="628"/>
      <c r="E141" s="745"/>
      <c r="F141" s="165">
        <v>2</v>
      </c>
      <c r="G141" s="257">
        <f>6.7*(294.74/1024)</f>
        <v>1.928474609375</v>
      </c>
      <c r="H141" s="836"/>
      <c r="I141" s="672"/>
      <c r="J141" s="257">
        <f>87.5*(294.74/1024)</f>
        <v>25.185302734375</v>
      </c>
      <c r="K141" s="836"/>
      <c r="L141" s="672"/>
      <c r="M141" s="162">
        <v>0.92</v>
      </c>
      <c r="N141" s="836"/>
      <c r="O141" s="672"/>
      <c r="P141" s="162">
        <v>85.7</v>
      </c>
      <c r="Q141" s="836"/>
      <c r="R141" s="672"/>
      <c r="S141" s="162">
        <v>0.98</v>
      </c>
      <c r="T141" s="836"/>
      <c r="U141" s="672"/>
    </row>
    <row r="142" spans="2:26" x14ac:dyDescent="0.25">
      <c r="B142" s="648"/>
      <c r="C142" s="648"/>
      <c r="D142" s="628"/>
      <c r="E142" s="675">
        <v>3</v>
      </c>
      <c r="F142" s="4">
        <v>1</v>
      </c>
      <c r="G142">
        <f>6.7*(294.74/1024)</f>
        <v>1.928474609375</v>
      </c>
      <c r="H142" s="834">
        <f>AVERAGE(G142:G143)</f>
        <v>1.9140830078125</v>
      </c>
      <c r="I142" s="672"/>
      <c r="J142">
        <f>63.7*(294.74/1024)</f>
        <v>18.334900390625002</v>
      </c>
      <c r="K142" s="834">
        <f>AVERAGE(J142:J143)</f>
        <v>19.241571289062499</v>
      </c>
      <c r="L142" s="672"/>
      <c r="M142">
        <v>0.91</v>
      </c>
      <c r="N142" s="834">
        <f>AVERAGE(M142:M143)</f>
        <v>0.91</v>
      </c>
      <c r="O142" s="672"/>
      <c r="P142">
        <v>73</v>
      </c>
      <c r="Q142" s="834">
        <f>AVERAGE(P142:P143)</f>
        <v>72.2</v>
      </c>
      <c r="R142" s="672"/>
      <c r="S142">
        <v>0.97</v>
      </c>
      <c r="T142" s="834">
        <f>AVERAGE(S142:S143)</f>
        <v>0.97</v>
      </c>
      <c r="U142" s="672"/>
    </row>
    <row r="143" spans="2:26" ht="15.75" thickBot="1" x14ac:dyDescent="0.3">
      <c r="B143" s="656"/>
      <c r="C143" s="656"/>
      <c r="D143" s="629"/>
      <c r="E143" s="683"/>
      <c r="F143" s="7">
        <v>2</v>
      </c>
      <c r="G143" s="6">
        <f>6.6*(294.74/1024)</f>
        <v>1.8996914062499999</v>
      </c>
      <c r="H143" s="835"/>
      <c r="I143" s="703"/>
      <c r="J143" s="6">
        <f>70*(294.74/1024)</f>
        <v>20.148242187499999</v>
      </c>
      <c r="K143" s="835"/>
      <c r="L143" s="703"/>
      <c r="M143" s="6">
        <v>0.91</v>
      </c>
      <c r="N143" s="835"/>
      <c r="O143" s="703"/>
      <c r="P143" s="6">
        <v>71.400000000000006</v>
      </c>
      <c r="Q143" s="835"/>
      <c r="R143" s="703"/>
      <c r="S143" s="6">
        <v>0.97</v>
      </c>
      <c r="T143" s="835"/>
      <c r="U143" s="703"/>
    </row>
    <row r="144" spans="2:26" x14ac:dyDescent="0.25">
      <c r="B144" s="647" t="s">
        <v>230</v>
      </c>
      <c r="C144" s="647" t="s">
        <v>96</v>
      </c>
      <c r="D144" s="627" t="s">
        <v>253</v>
      </c>
      <c r="E144" s="701">
        <v>1</v>
      </c>
      <c r="F144" s="9">
        <v>1</v>
      </c>
      <c r="G144" s="8">
        <f>6.7*(294.74/1024)</f>
        <v>1.928474609375</v>
      </c>
      <c r="H144" s="837">
        <f>AVERAGE(G144:G149)</f>
        <v>1.8900970052083332</v>
      </c>
      <c r="I144" s="832">
        <f>AVERAGE(H144:H159)</f>
        <v>1.8945743923611111</v>
      </c>
      <c r="J144" s="8">
        <f>88.8*(294.74/1024)</f>
        <v>25.559484375</v>
      </c>
      <c r="K144" s="837">
        <f>AVERAGE(J144:J149)</f>
        <v>25.621847981770831</v>
      </c>
      <c r="L144" s="832">
        <f>AVERAGE(K144:K159)</f>
        <v>24.501861566840279</v>
      </c>
      <c r="M144" s="375">
        <v>0.93</v>
      </c>
      <c r="N144" s="837">
        <f>AVERAGE(M144:M149)</f>
        <v>0.92666666666666664</v>
      </c>
      <c r="O144" s="832">
        <f>AVERAGE(N144:N159)</f>
        <v>0.92222222222222217</v>
      </c>
      <c r="P144" s="375">
        <v>79.900000000000006</v>
      </c>
      <c r="Q144" s="837">
        <f>AVERAGE(P144:P149)</f>
        <v>86.350000000000009</v>
      </c>
      <c r="R144" s="832">
        <f>AVERAGE(Q144:Q159)</f>
        <v>89.990000000000009</v>
      </c>
      <c r="S144" s="375">
        <v>0.92</v>
      </c>
      <c r="T144" s="837">
        <f>AVERAGE(S144:S149)</f>
        <v>0.96399999999999986</v>
      </c>
      <c r="U144" s="832">
        <f>AVERAGE(T144:T159)</f>
        <v>0.96333333333333326</v>
      </c>
    </row>
    <row r="145" spans="2:25" x14ac:dyDescent="0.25">
      <c r="B145" s="648"/>
      <c r="C145" s="648"/>
      <c r="D145" s="628"/>
      <c r="E145" s="669"/>
      <c r="F145" s="4">
        <v>2</v>
      </c>
      <c r="G145">
        <f>6.4*(294.74/1024)</f>
        <v>1.8421250000000002</v>
      </c>
      <c r="H145" s="834"/>
      <c r="I145" s="789"/>
      <c r="J145">
        <f>88.2*(294.74/1024)</f>
        <v>25.386785156250003</v>
      </c>
      <c r="K145" s="834"/>
      <c r="L145" s="789"/>
      <c r="M145" s="80">
        <v>0.93</v>
      </c>
      <c r="N145" s="834"/>
      <c r="O145" s="789"/>
      <c r="P145" s="80">
        <v>96.5</v>
      </c>
      <c r="Q145" s="834"/>
      <c r="R145" s="789"/>
      <c r="S145" s="80">
        <v>0.94</v>
      </c>
      <c r="T145" s="834"/>
      <c r="U145" s="789"/>
    </row>
    <row r="146" spans="2:25" x14ac:dyDescent="0.25">
      <c r="B146" s="648"/>
      <c r="C146" s="648"/>
      <c r="D146" s="628"/>
      <c r="E146" s="669"/>
      <c r="F146" s="4">
        <v>3</v>
      </c>
      <c r="G146">
        <f>6.6*(294.74/1024)</f>
        <v>1.8996914062499999</v>
      </c>
      <c r="H146" s="834"/>
      <c r="I146" s="789"/>
      <c r="J146">
        <f>86*(294.74/1024)</f>
        <v>24.753554687499999</v>
      </c>
      <c r="K146" s="834"/>
      <c r="L146" s="789"/>
      <c r="M146" s="80">
        <v>0.93</v>
      </c>
      <c r="N146" s="834"/>
      <c r="O146" s="789"/>
      <c r="P146" s="80">
        <v>79.900000000000006</v>
      </c>
      <c r="Q146" s="834"/>
      <c r="R146" s="789"/>
      <c r="S146" s="80">
        <v>0.99</v>
      </c>
      <c r="T146" s="834"/>
      <c r="U146" s="789"/>
    </row>
    <row r="147" spans="2:25" x14ac:dyDescent="0.25">
      <c r="B147" s="648"/>
      <c r="C147" s="648"/>
      <c r="D147" s="628"/>
      <c r="E147" s="669"/>
      <c r="F147" s="4">
        <v>4</v>
      </c>
      <c r="G147">
        <f>6.7*(294.74/1024)</f>
        <v>1.928474609375</v>
      </c>
      <c r="H147" s="834"/>
      <c r="I147" s="789"/>
      <c r="J147">
        <f>71.1*(294.74/1024)</f>
        <v>20.464857421874999</v>
      </c>
      <c r="K147" s="834"/>
      <c r="L147" s="789"/>
      <c r="M147" s="80">
        <v>0.91</v>
      </c>
      <c r="N147" s="834"/>
      <c r="O147" s="789"/>
      <c r="P147" s="80">
        <v>74.3</v>
      </c>
      <c r="Q147" s="834"/>
      <c r="R147" s="789"/>
      <c r="S147" s="80">
        <v>0.98</v>
      </c>
      <c r="T147" s="834"/>
      <c r="U147" s="789"/>
    </row>
    <row r="148" spans="2:25" x14ac:dyDescent="0.25">
      <c r="B148" s="648"/>
      <c r="C148" s="648"/>
      <c r="D148" s="628"/>
      <c r="E148" s="669"/>
      <c r="F148" s="4">
        <v>5</v>
      </c>
      <c r="G148">
        <f>6.5*(294.74/1024)</f>
        <v>1.8709082031249999</v>
      </c>
      <c r="H148" s="834"/>
      <c r="I148" s="789"/>
      <c r="J148">
        <f>98.5*(294.74/1024)</f>
        <v>28.351455078124999</v>
      </c>
      <c r="K148" s="834"/>
      <c r="L148" s="789"/>
      <c r="M148" s="80">
        <v>0.93</v>
      </c>
      <c r="N148" s="834"/>
      <c r="O148" s="789"/>
      <c r="P148" s="80">
        <v>94</v>
      </c>
      <c r="Q148" s="834"/>
      <c r="R148" s="789"/>
      <c r="S148" s="80">
        <v>0.99</v>
      </c>
      <c r="T148" s="834"/>
      <c r="U148" s="789"/>
    </row>
    <row r="149" spans="2:25" x14ac:dyDescent="0.25">
      <c r="B149" s="648"/>
      <c r="C149" s="648"/>
      <c r="D149" s="628"/>
      <c r="E149" s="670"/>
      <c r="F149" s="165">
        <v>6</v>
      </c>
      <c r="G149" s="257">
        <f>6.5*(294.74/1024)</f>
        <v>1.8709082031249999</v>
      </c>
      <c r="H149" s="836"/>
      <c r="I149" s="789"/>
      <c r="J149" s="257">
        <f>101.5*(294.74/1024)</f>
        <v>29.214951171875001</v>
      </c>
      <c r="K149" s="836"/>
      <c r="L149" s="789"/>
      <c r="M149" s="257">
        <v>0.93</v>
      </c>
      <c r="N149" s="836"/>
      <c r="O149" s="789"/>
      <c r="P149" s="80">
        <v>93.5</v>
      </c>
      <c r="Q149" s="836"/>
      <c r="R149" s="789"/>
      <c r="S149" s="257"/>
      <c r="T149" s="836"/>
      <c r="U149" s="789"/>
    </row>
    <row r="150" spans="2:25" x14ac:dyDescent="0.25">
      <c r="B150" s="648"/>
      <c r="C150" s="648"/>
      <c r="D150" s="628"/>
      <c r="E150" s="669">
        <v>2</v>
      </c>
      <c r="F150" s="4">
        <v>1</v>
      </c>
      <c r="G150">
        <f>6.4*(294.74/1024)</f>
        <v>1.8421250000000002</v>
      </c>
      <c r="H150" s="833">
        <f>AVERAGE(G150:G154)</f>
        <v>1.888178125</v>
      </c>
      <c r="I150" s="789"/>
      <c r="J150">
        <f>82.1*(294.74/1024)</f>
        <v>23.631009765624999</v>
      </c>
      <c r="K150" s="833">
        <f>AVERAGE(J150:J154)</f>
        <v>23.711602734374999</v>
      </c>
      <c r="L150" s="789"/>
      <c r="M150" s="80">
        <v>0.92</v>
      </c>
      <c r="N150" s="833">
        <f>AVERAGE(M150:M154)</f>
        <v>0.91999999999999993</v>
      </c>
      <c r="O150" s="789"/>
      <c r="P150" s="80">
        <v>106.7</v>
      </c>
      <c r="Q150" s="833">
        <f>AVERAGE(P150:P154)</f>
        <v>98.62</v>
      </c>
      <c r="R150" s="789"/>
      <c r="S150" s="80">
        <v>0.98</v>
      </c>
      <c r="T150" s="833">
        <f>AVERAGE(S150:S154)</f>
        <v>0.95</v>
      </c>
      <c r="U150" s="789"/>
    </row>
    <row r="151" spans="2:25" x14ac:dyDescent="0.25">
      <c r="B151" s="648"/>
      <c r="C151" s="648"/>
      <c r="D151" s="628"/>
      <c r="E151" s="669"/>
      <c r="F151" s="4">
        <v>2</v>
      </c>
      <c r="G151">
        <f>6.4*(294.74/1024)</f>
        <v>1.8421250000000002</v>
      </c>
      <c r="H151" s="834"/>
      <c r="I151" s="789"/>
      <c r="J151">
        <f>92.1*(294.74/1024)</f>
        <v>26.509330078125</v>
      </c>
      <c r="K151" s="834"/>
      <c r="L151" s="789"/>
      <c r="M151" s="80">
        <v>0.93</v>
      </c>
      <c r="N151" s="834"/>
      <c r="O151" s="789"/>
      <c r="P151" s="80">
        <v>107.5</v>
      </c>
      <c r="Q151" s="834"/>
      <c r="R151" s="789"/>
      <c r="S151" s="80">
        <v>0.96</v>
      </c>
      <c r="T151" s="834"/>
      <c r="U151" s="789"/>
    </row>
    <row r="152" spans="2:25" x14ac:dyDescent="0.25">
      <c r="B152" s="648"/>
      <c r="C152" s="648"/>
      <c r="D152" s="628"/>
      <c r="E152" s="669"/>
      <c r="F152" s="4">
        <v>3</v>
      </c>
      <c r="G152">
        <f>6.5*(294.74/1024)</f>
        <v>1.8709082031249999</v>
      </c>
      <c r="H152" s="834"/>
      <c r="I152" s="789"/>
      <c r="J152">
        <f>78.4*(294.74/1024)</f>
        <v>22.566031250000002</v>
      </c>
      <c r="K152" s="834"/>
      <c r="L152" s="789"/>
      <c r="M152" s="80">
        <v>0.92</v>
      </c>
      <c r="N152" s="834"/>
      <c r="O152" s="789"/>
      <c r="P152" s="80">
        <v>113.9</v>
      </c>
      <c r="Q152" s="834"/>
      <c r="R152" s="789"/>
      <c r="S152" s="80">
        <v>0.98</v>
      </c>
      <c r="T152" s="834"/>
      <c r="U152" s="789"/>
    </row>
    <row r="153" spans="2:25" x14ac:dyDescent="0.25">
      <c r="B153" s="648"/>
      <c r="C153" s="648"/>
      <c r="D153" s="628"/>
      <c r="E153" s="669"/>
      <c r="F153" s="4">
        <v>4</v>
      </c>
      <c r="G153">
        <f>6.7*(294.74/1024)</f>
        <v>1.928474609375</v>
      </c>
      <c r="H153" s="834"/>
      <c r="I153" s="789"/>
      <c r="J153">
        <f>87.3*(294.74/1024)</f>
        <v>25.127736328125</v>
      </c>
      <c r="K153" s="834"/>
      <c r="L153" s="789"/>
      <c r="M153" s="80">
        <v>0.92</v>
      </c>
      <c r="N153" s="834"/>
      <c r="O153" s="789"/>
      <c r="P153" s="80">
        <v>89.7</v>
      </c>
      <c r="Q153" s="834"/>
      <c r="R153" s="789"/>
      <c r="S153" s="80">
        <v>0.88</v>
      </c>
      <c r="T153" s="834"/>
      <c r="U153" s="789"/>
    </row>
    <row r="154" spans="2:25" x14ac:dyDescent="0.25">
      <c r="B154" s="648"/>
      <c r="C154" s="648"/>
      <c r="D154" s="628"/>
      <c r="E154" s="670"/>
      <c r="F154" s="165">
        <v>5</v>
      </c>
      <c r="G154" s="257">
        <f>6.8*(294.74/1024)</f>
        <v>1.9572578125</v>
      </c>
      <c r="H154" s="836"/>
      <c r="I154" s="789"/>
      <c r="J154" s="257">
        <f>72*(294.74/1024)</f>
        <v>20.723906249999999</v>
      </c>
      <c r="K154" s="836"/>
      <c r="L154" s="789"/>
      <c r="M154" s="257">
        <v>0.91</v>
      </c>
      <c r="N154" s="836"/>
      <c r="O154" s="789"/>
      <c r="P154" s="257">
        <v>75.3</v>
      </c>
      <c r="Q154" s="836"/>
      <c r="R154" s="789"/>
      <c r="S154" s="257">
        <v>0.95</v>
      </c>
      <c r="T154" s="836"/>
      <c r="U154" s="789"/>
    </row>
    <row r="155" spans="2:25" x14ac:dyDescent="0.25">
      <c r="B155" s="648"/>
      <c r="C155" s="648"/>
      <c r="D155" s="628"/>
      <c r="E155" s="669">
        <v>3</v>
      </c>
      <c r="F155" s="4">
        <v>1</v>
      </c>
      <c r="G155">
        <f>6.8*(294.74/1024)</f>
        <v>1.9572578125</v>
      </c>
      <c r="H155" s="834">
        <f>AVERAGE(G155:G159)</f>
        <v>1.9054480468749997</v>
      </c>
      <c r="I155" s="789"/>
      <c r="J155">
        <f>71.2*(294.74/1024)</f>
        <v>20.493640625000001</v>
      </c>
      <c r="K155" s="834">
        <f>AVERAGE(J155:J159)</f>
        <v>24.172133984375002</v>
      </c>
      <c r="L155" s="789"/>
      <c r="M155" s="80">
        <v>0.91</v>
      </c>
      <c r="N155" s="834">
        <f>AVERAGE(M155:M159)</f>
        <v>0.91999999999999993</v>
      </c>
      <c r="O155" s="789"/>
      <c r="P155" s="80">
        <v>76.5</v>
      </c>
      <c r="Q155" s="834">
        <f>AVERAGE(P155:P159)</f>
        <v>85</v>
      </c>
      <c r="R155" s="789"/>
      <c r="S155" s="80">
        <v>0.98</v>
      </c>
      <c r="T155" s="834">
        <f>AVERAGE(S155:S159)</f>
        <v>0.97599999999999998</v>
      </c>
      <c r="U155" s="789"/>
    </row>
    <row r="156" spans="2:25" x14ac:dyDescent="0.25">
      <c r="B156" s="648"/>
      <c r="C156" s="648"/>
      <c r="D156" s="628"/>
      <c r="E156" s="669"/>
      <c r="F156" s="4">
        <v>2</v>
      </c>
      <c r="G156">
        <f>6.6*(294.74/1024)</f>
        <v>1.8996914062499999</v>
      </c>
      <c r="H156" s="834"/>
      <c r="I156" s="789"/>
      <c r="J156">
        <f>83.9*(294.74/1024)</f>
        <v>24.149107421875001</v>
      </c>
      <c r="K156" s="834"/>
      <c r="L156" s="789"/>
      <c r="M156" s="80">
        <v>0.92</v>
      </c>
      <c r="N156" s="834"/>
      <c r="O156" s="789"/>
      <c r="P156" s="80">
        <v>93.3</v>
      </c>
      <c r="Q156" s="834"/>
      <c r="R156" s="789"/>
      <c r="S156" s="80">
        <v>0.96</v>
      </c>
      <c r="T156" s="834"/>
      <c r="U156" s="789"/>
    </row>
    <row r="157" spans="2:25" x14ac:dyDescent="0.25">
      <c r="B157" s="648"/>
      <c r="C157" s="648"/>
      <c r="D157" s="628"/>
      <c r="E157" s="669"/>
      <c r="F157" s="4">
        <v>3</v>
      </c>
      <c r="G157">
        <f>6.5*(294.74/1024)</f>
        <v>1.8709082031249999</v>
      </c>
      <c r="H157" s="834"/>
      <c r="I157" s="789"/>
      <c r="J157">
        <f>87.7*(294.74/1024)</f>
        <v>25.242869140625</v>
      </c>
      <c r="K157" s="834"/>
      <c r="L157" s="789"/>
      <c r="M157" s="199">
        <v>0.92</v>
      </c>
      <c r="N157" s="834"/>
      <c r="O157" s="789"/>
      <c r="P157" s="80">
        <v>89.5</v>
      </c>
      <c r="Q157" s="834"/>
      <c r="R157" s="789"/>
      <c r="S157" s="80">
        <v>0.99</v>
      </c>
      <c r="T157" s="834"/>
      <c r="U157" s="789"/>
      <c r="X157" t="s">
        <v>303</v>
      </c>
      <c r="Y157" t="s">
        <v>296</v>
      </c>
    </row>
    <row r="158" spans="2:25" x14ac:dyDescent="0.25">
      <c r="B158" s="648"/>
      <c r="C158" s="648"/>
      <c r="D158" s="628"/>
      <c r="E158" s="669"/>
      <c r="F158" s="4">
        <v>4</v>
      </c>
      <c r="G158">
        <f>6.6*(294.74/1024)</f>
        <v>1.8996914062499999</v>
      </c>
      <c r="H158" s="834"/>
      <c r="I158" s="789"/>
      <c r="J158">
        <f>90.8*(294.74/1024)</f>
        <v>26.1351484375</v>
      </c>
      <c r="K158" s="834"/>
      <c r="L158" s="789"/>
      <c r="M158" s="199">
        <v>0.92</v>
      </c>
      <c r="N158" s="834"/>
      <c r="O158" s="789"/>
      <c r="P158" s="80">
        <v>84.5</v>
      </c>
      <c r="Q158" s="834"/>
      <c r="R158" s="789"/>
      <c r="S158" s="80">
        <v>0.98</v>
      </c>
      <c r="T158" s="834"/>
      <c r="U158" s="789"/>
      <c r="X158" t="s">
        <v>304</v>
      </c>
      <c r="Y158" t="s">
        <v>296</v>
      </c>
    </row>
    <row r="159" spans="2:25" ht="15.75" thickBot="1" x14ac:dyDescent="0.3">
      <c r="B159" s="648"/>
      <c r="C159" s="648"/>
      <c r="D159" s="629"/>
      <c r="E159" s="684"/>
      <c r="F159" s="7">
        <v>5</v>
      </c>
      <c r="G159" s="6">
        <f>6.6*(294.74/1024)</f>
        <v>1.8996914062499999</v>
      </c>
      <c r="H159" s="835"/>
      <c r="I159" s="790"/>
      <c r="J159" s="6">
        <f>86.3*(294.74/1024)</f>
        <v>24.839904296875002</v>
      </c>
      <c r="K159" s="835"/>
      <c r="L159" s="790"/>
      <c r="M159" s="200">
        <v>0.93</v>
      </c>
      <c r="N159" s="835"/>
      <c r="O159" s="790"/>
      <c r="P159" s="81">
        <v>81.2</v>
      </c>
      <c r="Q159" s="835"/>
      <c r="R159" s="790"/>
      <c r="S159" s="81">
        <v>0.97</v>
      </c>
      <c r="T159" s="835"/>
      <c r="U159" s="790"/>
      <c r="X159" t="s">
        <v>305</v>
      </c>
      <c r="Y159" t="s">
        <v>296</v>
      </c>
    </row>
    <row r="160" spans="2:25" x14ac:dyDescent="0.25">
      <c r="B160" s="648"/>
      <c r="C160" s="648"/>
      <c r="D160" s="627" t="s">
        <v>268</v>
      </c>
      <c r="E160" s="665">
        <v>1</v>
      </c>
      <c r="F160" s="9">
        <v>1</v>
      </c>
      <c r="G160" s="8">
        <f>6.7*(294.74/1024)</f>
        <v>1.928474609375</v>
      </c>
      <c r="H160" s="837">
        <f>AVERAGE(G160:G161)</f>
        <v>1.9140830078125</v>
      </c>
      <c r="I160" s="702">
        <f>H160</f>
        <v>1.9140830078125</v>
      </c>
      <c r="J160" s="8">
        <f>76.3*(294.74/1024)</f>
        <v>21.961583984375</v>
      </c>
      <c r="K160" s="837">
        <f>AVERAGE(J160:J161)</f>
        <v>19.63014453125</v>
      </c>
      <c r="L160" s="702">
        <f>K160</f>
        <v>19.63014453125</v>
      </c>
      <c r="M160" s="8">
        <v>0.92</v>
      </c>
      <c r="N160" s="837">
        <f>AVERAGE(M160:M161)</f>
        <v>0.91500000000000004</v>
      </c>
      <c r="O160" s="702">
        <f>N160</f>
        <v>0.91500000000000004</v>
      </c>
      <c r="P160" s="8">
        <v>104.7</v>
      </c>
      <c r="Q160" s="837">
        <f>AVERAGE(P160:P161)</f>
        <v>93.85</v>
      </c>
      <c r="R160" s="702">
        <f>Q160</f>
        <v>93.85</v>
      </c>
      <c r="S160" s="8">
        <v>0.99</v>
      </c>
      <c r="T160" s="837">
        <f>AVERAGE(S160:S161)</f>
        <v>0.99</v>
      </c>
      <c r="U160" s="702">
        <f>T160</f>
        <v>0.99</v>
      </c>
      <c r="X160" t="s">
        <v>306</v>
      </c>
      <c r="Y160" t="s">
        <v>296</v>
      </c>
    </row>
    <row r="161" spans="2:25" ht="15.75" thickBot="1" x14ac:dyDescent="0.3">
      <c r="B161" s="648"/>
      <c r="C161" s="648"/>
      <c r="D161" s="629"/>
      <c r="E161" s="683"/>
      <c r="F161" s="7">
        <v>2</v>
      </c>
      <c r="G161">
        <f>6.6*(294.74/1024)</f>
        <v>1.8996914062499999</v>
      </c>
      <c r="H161" s="834"/>
      <c r="I161" s="672"/>
      <c r="J161">
        <f>60.1*(294.74/1024)</f>
        <v>17.298705078125</v>
      </c>
      <c r="K161" s="834"/>
      <c r="L161" s="672"/>
      <c r="M161" s="6">
        <v>0.91</v>
      </c>
      <c r="N161" s="835"/>
      <c r="O161" s="703"/>
      <c r="P161" s="6">
        <v>83</v>
      </c>
      <c r="Q161" s="835"/>
      <c r="R161" s="703"/>
      <c r="S161" s="6"/>
      <c r="T161" s="835"/>
      <c r="U161" s="703"/>
      <c r="X161" t="s">
        <v>307</v>
      </c>
      <c r="Y161" t="s">
        <v>296</v>
      </c>
    </row>
    <row r="162" spans="2:25" x14ac:dyDescent="0.25">
      <c r="B162" s="648"/>
      <c r="C162" s="648"/>
      <c r="D162" s="627" t="s">
        <v>299</v>
      </c>
      <c r="E162" s="665">
        <v>1</v>
      </c>
      <c r="F162">
        <v>1</v>
      </c>
      <c r="G162" s="43">
        <f>6.5*(294.74/1024)</f>
        <v>1.8709082031249999</v>
      </c>
      <c r="H162" s="701">
        <f>AVERAGE(G162:G164)</f>
        <v>1.8229361979166667</v>
      </c>
      <c r="I162" s="832">
        <f>AVERAGE(H162:H168)</f>
        <v>1.850120334201389</v>
      </c>
      <c r="J162" s="43">
        <f>97.7*(294.74/1024)</f>
        <v>28.121189453125002</v>
      </c>
      <c r="K162" s="701">
        <f>AVERAGE(J162:J164)</f>
        <v>37.024793619791666</v>
      </c>
      <c r="L162" s="832">
        <f>AVERAGE(K162:K168)</f>
        <v>30.566162651909725</v>
      </c>
      <c r="M162">
        <v>0.93</v>
      </c>
      <c r="N162" s="701">
        <f>AVERAGE(M162:M164)</f>
        <v>0.93666666666666665</v>
      </c>
      <c r="O162" s="832">
        <f>AVERAGE(N162:N168)</f>
        <v>0.93055555555555569</v>
      </c>
      <c r="P162">
        <v>103.4</v>
      </c>
      <c r="Q162" s="701">
        <f>AVERAGE(P162:P164)</f>
        <v>94.13333333333334</v>
      </c>
      <c r="R162" s="832">
        <f>AVERAGE(Q162:Q168)</f>
        <v>90.777777777777786</v>
      </c>
      <c r="S162">
        <v>0.97</v>
      </c>
      <c r="T162" s="701">
        <f>AVERAGE(S162:S164)</f>
        <v>0.98666666666666669</v>
      </c>
      <c r="U162" s="832">
        <f>AVERAGE(T162:T168)</f>
        <v>0.98055555555555551</v>
      </c>
      <c r="X162" t="s">
        <v>308</v>
      </c>
      <c r="Y162" t="s">
        <v>296</v>
      </c>
    </row>
    <row r="163" spans="2:25" x14ac:dyDescent="0.25">
      <c r="B163" s="648"/>
      <c r="C163" s="648"/>
      <c r="D163" s="628"/>
      <c r="E163" s="666"/>
      <c r="F163">
        <v>2</v>
      </c>
      <c r="G163" s="44">
        <f>6.3*(294.74/1024)</f>
        <v>1.8133417968750001</v>
      </c>
      <c r="H163" s="669"/>
      <c r="I163" s="789"/>
      <c r="J163" s="44">
        <f>111.6*(294.74/1024)</f>
        <v>32.122054687499997</v>
      </c>
      <c r="K163" s="669"/>
      <c r="L163" s="789"/>
      <c r="M163">
        <v>0.93</v>
      </c>
      <c r="N163" s="669"/>
      <c r="O163" s="789"/>
      <c r="P163">
        <v>96.2</v>
      </c>
      <c r="Q163" s="669"/>
      <c r="R163" s="789"/>
      <c r="S163">
        <v>1</v>
      </c>
      <c r="T163" s="669"/>
      <c r="U163" s="789"/>
      <c r="X163" t="s">
        <v>309</v>
      </c>
      <c r="Y163" t="s">
        <v>296</v>
      </c>
    </row>
    <row r="164" spans="2:25" x14ac:dyDescent="0.25">
      <c r="B164" s="648"/>
      <c r="C164" s="648"/>
      <c r="D164" s="628"/>
      <c r="E164" s="745"/>
      <c r="F164" s="162">
        <v>3</v>
      </c>
      <c r="G164" s="426">
        <f>6.2*(294.74/1024)</f>
        <v>1.7845585937500001</v>
      </c>
      <c r="H164" s="670"/>
      <c r="I164" s="789"/>
      <c r="J164" s="426">
        <f>176.6*(294.74/1024)</f>
        <v>50.831136718750003</v>
      </c>
      <c r="K164" s="670"/>
      <c r="L164" s="789"/>
      <c r="M164" s="162">
        <v>0.95</v>
      </c>
      <c r="N164" s="670"/>
      <c r="O164" s="789"/>
      <c r="P164" s="162">
        <v>82.8</v>
      </c>
      <c r="Q164" s="670"/>
      <c r="R164" s="789"/>
      <c r="S164" s="162">
        <v>0.99</v>
      </c>
      <c r="T164" s="670"/>
      <c r="U164" s="789"/>
      <c r="X164" t="s">
        <v>310</v>
      </c>
      <c r="Y164" t="s">
        <v>296</v>
      </c>
    </row>
    <row r="165" spans="2:25" x14ac:dyDescent="0.25">
      <c r="B165" s="648"/>
      <c r="C165" s="648"/>
      <c r="D165" s="628"/>
      <c r="E165" s="666">
        <v>2</v>
      </c>
      <c r="F165">
        <v>1</v>
      </c>
      <c r="G165" s="44">
        <f>6.7*(294.74/1024)</f>
        <v>1.928474609375</v>
      </c>
      <c r="H165" s="753">
        <f>AVERAGE(G165:G166)</f>
        <v>1.8709082031249999</v>
      </c>
      <c r="I165" s="789"/>
      <c r="J165" s="44">
        <f>73.4*(294.74/1024)</f>
        <v>21.126871093750001</v>
      </c>
      <c r="K165" s="753">
        <f>AVERAGE(J165:J166)</f>
        <v>27.545525390625002</v>
      </c>
      <c r="L165" s="789"/>
      <c r="M165">
        <v>0.92</v>
      </c>
      <c r="N165" s="753">
        <f>AVERAGE(M165:M166)</f>
        <v>0.92999999999999994</v>
      </c>
      <c r="O165" s="789"/>
      <c r="P165">
        <v>95.9</v>
      </c>
      <c r="Q165" s="753">
        <f>AVERAGE(P165:P166)</f>
        <v>95.9</v>
      </c>
      <c r="R165" s="789"/>
      <c r="S165">
        <v>0.99</v>
      </c>
      <c r="T165" s="753">
        <f>AVERAGE(S165:S166)</f>
        <v>0.96499999999999997</v>
      </c>
      <c r="U165" s="789"/>
      <c r="X165" t="s">
        <v>311</v>
      </c>
      <c r="Y165" t="s">
        <v>296</v>
      </c>
    </row>
    <row r="166" spans="2:25" x14ac:dyDescent="0.25">
      <c r="B166" s="648"/>
      <c r="C166" s="648"/>
      <c r="D166" s="628"/>
      <c r="E166" s="745"/>
      <c r="F166" s="162">
        <v>2</v>
      </c>
      <c r="G166" s="426">
        <f>6.3*(294.74/1024)</f>
        <v>1.8133417968750001</v>
      </c>
      <c r="H166" s="670"/>
      <c r="I166" s="789"/>
      <c r="J166" s="426">
        <f>118*(294.74/1024)</f>
        <v>33.9641796875</v>
      </c>
      <c r="K166" s="670"/>
      <c r="L166" s="789"/>
      <c r="M166" s="162">
        <v>0.94</v>
      </c>
      <c r="N166" s="670"/>
      <c r="O166" s="789"/>
      <c r="P166" s="162">
        <v>95.9</v>
      </c>
      <c r="Q166" s="670"/>
      <c r="R166" s="789"/>
      <c r="S166" s="162">
        <v>0.94</v>
      </c>
      <c r="T166" s="670"/>
      <c r="U166" s="789"/>
      <c r="X166" t="s">
        <v>312</v>
      </c>
      <c r="Y166" t="s">
        <v>296</v>
      </c>
    </row>
    <row r="167" spans="2:25" x14ac:dyDescent="0.25">
      <c r="B167" s="648"/>
      <c r="C167" s="648"/>
      <c r="D167" s="628"/>
      <c r="E167" s="666">
        <v>3</v>
      </c>
      <c r="F167">
        <v>1</v>
      </c>
      <c r="G167" s="44">
        <f>6.5*(294.74/1024)</f>
        <v>1.8709082031249999</v>
      </c>
      <c r="H167" s="753">
        <f>AVERAGE(G167:G168)</f>
        <v>1.8565166015625001</v>
      </c>
      <c r="I167" s="789"/>
      <c r="J167" s="44">
        <f>90.8*(294.74/1024)</f>
        <v>26.1351484375</v>
      </c>
      <c r="K167" s="753">
        <f>AVERAGE(J167:J168)</f>
        <v>27.128168945312503</v>
      </c>
      <c r="L167" s="789"/>
      <c r="M167">
        <v>0.92</v>
      </c>
      <c r="N167" s="753">
        <f>AVERAGE(M167:M168)</f>
        <v>0.92500000000000004</v>
      </c>
      <c r="O167" s="789"/>
      <c r="P167">
        <v>65.599999999999994</v>
      </c>
      <c r="Q167" s="753">
        <f>AVERAGE(P167:P168)</f>
        <v>82.3</v>
      </c>
      <c r="R167" s="789"/>
      <c r="S167">
        <v>0.99</v>
      </c>
      <c r="T167" s="753">
        <f>AVERAGE(S167:S168)</f>
        <v>0.99</v>
      </c>
      <c r="U167" s="789"/>
    </row>
    <row r="168" spans="2:25" ht="15.75" thickBot="1" x14ac:dyDescent="0.3">
      <c r="B168" s="656"/>
      <c r="C168" s="656"/>
      <c r="D168" s="629"/>
      <c r="E168" s="683"/>
      <c r="F168">
        <v>2</v>
      </c>
      <c r="G168" s="32">
        <f>6.4*(294.74/1024)</f>
        <v>1.8421250000000002</v>
      </c>
      <c r="H168" s="684"/>
      <c r="I168" s="790"/>
      <c r="J168" s="32">
        <f>97.7*(294.74/1024)</f>
        <v>28.121189453125002</v>
      </c>
      <c r="K168" s="684"/>
      <c r="L168" s="790"/>
      <c r="M168">
        <v>0.93</v>
      </c>
      <c r="N168" s="684"/>
      <c r="O168" s="790"/>
      <c r="P168">
        <v>99</v>
      </c>
      <c r="Q168" s="684"/>
      <c r="R168" s="790"/>
      <c r="S168">
        <v>0.99</v>
      </c>
      <c r="T168" s="684"/>
      <c r="U168" s="790"/>
    </row>
    <row r="169" spans="2:25" x14ac:dyDescent="0.25">
      <c r="B169" s="647" t="s">
        <v>234</v>
      </c>
      <c r="C169" s="647" t="s">
        <v>95</v>
      </c>
      <c r="D169" s="627" t="s">
        <v>238</v>
      </c>
      <c r="E169" s="701">
        <v>1</v>
      </c>
      <c r="F169" s="9">
        <v>1</v>
      </c>
      <c r="G169">
        <f>6.4*(294.74/1024)</f>
        <v>1.8421250000000002</v>
      </c>
      <c r="H169" s="834">
        <f>AVERAGE(G169:G173)</f>
        <v>1.8651515625000001</v>
      </c>
      <c r="I169" s="789">
        <f>AVERAGE(H169:H183)</f>
        <v>1.7404243489583333</v>
      </c>
      <c r="J169">
        <f>88.2*(294.74/1024)</f>
        <v>25.386785156250003</v>
      </c>
      <c r="K169" s="834">
        <f>AVERAGE(J169:J173)</f>
        <v>27.908193750000002</v>
      </c>
      <c r="L169" s="789">
        <f>AVERAGE(K169:K183)</f>
        <v>30.205093359375002</v>
      </c>
      <c r="M169" s="375">
        <v>0.93</v>
      </c>
      <c r="N169" s="837">
        <f>AVERAGE(M169:M173)</f>
        <v>0.92999999999999994</v>
      </c>
      <c r="O169" s="832">
        <f>AVERAGE(N169:N183)</f>
        <v>0.93400000000000005</v>
      </c>
      <c r="P169" s="375">
        <v>104.6</v>
      </c>
      <c r="Q169" s="837">
        <f>AVERAGE(P169:P173)</f>
        <v>92.88000000000001</v>
      </c>
      <c r="R169" s="832">
        <f>AVERAGE(Q169:Q183)</f>
        <v>87.126666666666665</v>
      </c>
      <c r="S169" s="375">
        <v>0.96</v>
      </c>
      <c r="T169" s="837">
        <f>AVERAGE(S169:S173)</f>
        <v>0.97249999999999992</v>
      </c>
      <c r="U169" s="832">
        <f>AVERAGE(T169:T183)</f>
        <v>0.97250000000000003</v>
      </c>
    </row>
    <row r="170" spans="2:25" x14ac:dyDescent="0.25">
      <c r="B170" s="648"/>
      <c r="C170" s="648"/>
      <c r="D170" s="628"/>
      <c r="E170" s="669"/>
      <c r="F170" s="4">
        <v>2</v>
      </c>
      <c r="G170">
        <f>6.4*(294.74/1024)</f>
        <v>1.8421250000000002</v>
      </c>
      <c r="H170" s="834"/>
      <c r="I170" s="789"/>
      <c r="J170">
        <f>102.4*(294.74/1024)</f>
        <v>29.474000000000004</v>
      </c>
      <c r="K170" s="834"/>
      <c r="L170" s="789"/>
      <c r="M170" s="80">
        <v>0.93</v>
      </c>
      <c r="N170" s="834"/>
      <c r="O170" s="789"/>
      <c r="P170" s="80">
        <v>103.9</v>
      </c>
      <c r="Q170" s="834"/>
      <c r="R170" s="789"/>
      <c r="S170" s="80">
        <v>0.98</v>
      </c>
      <c r="T170" s="834"/>
      <c r="U170" s="789"/>
    </row>
    <row r="171" spans="2:25" x14ac:dyDescent="0.25">
      <c r="B171" s="648"/>
      <c r="C171" s="648"/>
      <c r="D171" s="628"/>
      <c r="E171" s="669"/>
      <c r="F171" s="4">
        <v>3</v>
      </c>
      <c r="G171">
        <f>6.3*(294.74/1024)</f>
        <v>1.8133417968750001</v>
      </c>
      <c r="H171" s="834"/>
      <c r="I171" s="789"/>
      <c r="J171">
        <f>123.2*(294.74/1024)</f>
        <v>35.460906250000001</v>
      </c>
      <c r="K171" s="834"/>
      <c r="L171" s="789"/>
      <c r="M171" s="80">
        <v>0.94</v>
      </c>
      <c r="N171" s="834"/>
      <c r="O171" s="789"/>
      <c r="P171" s="80">
        <v>95.1</v>
      </c>
      <c r="Q171" s="834"/>
      <c r="R171" s="789"/>
      <c r="S171" s="80">
        <v>0.98</v>
      </c>
      <c r="T171" s="834"/>
      <c r="U171" s="789"/>
    </row>
    <row r="172" spans="2:25" x14ac:dyDescent="0.25">
      <c r="B172" s="648"/>
      <c r="C172" s="648"/>
      <c r="D172" s="628"/>
      <c r="E172" s="669"/>
      <c r="F172" s="4">
        <v>4</v>
      </c>
      <c r="G172">
        <f>6.8*(294.74/1024)</f>
        <v>1.9572578125</v>
      </c>
      <c r="H172" s="834"/>
      <c r="I172" s="789"/>
      <c r="J172">
        <f>86.6*(294.74/1024)</f>
        <v>24.92625390625</v>
      </c>
      <c r="K172" s="834"/>
      <c r="L172" s="789"/>
      <c r="M172" s="80">
        <v>0.92</v>
      </c>
      <c r="N172" s="834"/>
      <c r="O172" s="789"/>
      <c r="P172" s="80">
        <v>87.8</v>
      </c>
      <c r="Q172" s="834"/>
      <c r="R172" s="789"/>
      <c r="S172" s="80">
        <v>0.97</v>
      </c>
      <c r="T172" s="834"/>
      <c r="U172" s="789"/>
    </row>
    <row r="173" spans="2:25" x14ac:dyDescent="0.25">
      <c r="B173" s="648"/>
      <c r="C173" s="648"/>
      <c r="D173" s="628"/>
      <c r="E173" s="670"/>
      <c r="F173" s="165">
        <v>5</v>
      </c>
      <c r="G173" s="257">
        <f>6.5*(294.74/1024)</f>
        <v>1.8709082031249999</v>
      </c>
      <c r="H173" s="836"/>
      <c r="I173" s="789"/>
      <c r="J173" s="257">
        <f>84.4*(294.74/1024)</f>
        <v>24.293023437500004</v>
      </c>
      <c r="K173" s="836"/>
      <c r="L173" s="789"/>
      <c r="M173" s="257">
        <v>0.93</v>
      </c>
      <c r="N173" s="836"/>
      <c r="O173" s="789"/>
      <c r="P173" s="257">
        <v>73</v>
      </c>
      <c r="Q173" s="836"/>
      <c r="R173" s="789"/>
      <c r="S173" s="257"/>
      <c r="T173" s="836"/>
      <c r="U173" s="789"/>
    </row>
    <row r="174" spans="2:25" x14ac:dyDescent="0.25">
      <c r="B174" s="648"/>
      <c r="C174" s="648"/>
      <c r="D174" s="628"/>
      <c r="E174" s="669">
        <v>2</v>
      </c>
      <c r="F174" s="4">
        <v>1</v>
      </c>
      <c r="G174">
        <f>6.6*(294.74/1024)</f>
        <v>1.8996914062499999</v>
      </c>
      <c r="H174" s="834">
        <f>AVERAGE(G174:G178)</f>
        <v>1.7960718749999998</v>
      </c>
      <c r="I174" s="789"/>
      <c r="J174">
        <f>86.9*(294.74/1024)</f>
        <v>25.012603515625003</v>
      </c>
      <c r="K174" s="834">
        <f>AVERAGE(J174:J178)</f>
        <v>34.453494140625004</v>
      </c>
      <c r="L174" s="789"/>
      <c r="M174" s="80">
        <v>0.93</v>
      </c>
      <c r="N174" s="834">
        <f>AVERAGE(M174:M178)</f>
        <v>0.93800000000000006</v>
      </c>
      <c r="O174" s="789"/>
      <c r="P174" s="80">
        <v>74.599999999999994</v>
      </c>
      <c r="Q174" s="834">
        <f>AVERAGE(P174:P178)</f>
        <v>83.839999999999989</v>
      </c>
      <c r="R174" s="789"/>
      <c r="S174" s="80">
        <v>0.93</v>
      </c>
      <c r="T174" s="834">
        <f>AVERAGE(S174:S178)</f>
        <v>0.97250000000000014</v>
      </c>
      <c r="U174" s="789"/>
    </row>
    <row r="175" spans="2:25" x14ac:dyDescent="0.25">
      <c r="B175" s="648"/>
      <c r="C175" s="648"/>
      <c r="D175" s="628"/>
      <c r="E175" s="669"/>
      <c r="F175" s="4">
        <v>2</v>
      </c>
      <c r="G175">
        <f>6.1*(294.74/1024)</f>
        <v>1.755775390625</v>
      </c>
      <c r="H175" s="834"/>
      <c r="I175" s="789"/>
      <c r="J175">
        <f>122.8*(294.74/1024)</f>
        <v>35.3457734375</v>
      </c>
      <c r="K175" s="834"/>
      <c r="L175" s="789"/>
      <c r="M175" s="80">
        <v>0.94</v>
      </c>
      <c r="N175" s="834"/>
      <c r="O175" s="789"/>
      <c r="P175" s="80">
        <v>92</v>
      </c>
      <c r="Q175" s="834"/>
      <c r="R175" s="789"/>
      <c r="S175" s="80">
        <v>0.98</v>
      </c>
      <c r="T175" s="834"/>
      <c r="U175" s="789"/>
    </row>
    <row r="176" spans="2:25" x14ac:dyDescent="0.25">
      <c r="B176" s="648"/>
      <c r="C176" s="648"/>
      <c r="D176" s="628"/>
      <c r="E176" s="669"/>
      <c r="F176" s="4">
        <v>3</v>
      </c>
      <c r="G176">
        <f>5.9*(294.74/1024)</f>
        <v>1.6982089843750001</v>
      </c>
      <c r="H176" s="834"/>
      <c r="I176" s="789"/>
      <c r="J176">
        <f>167.4*(294.74/1024)</f>
        <v>48.183082031250002</v>
      </c>
      <c r="K176" s="834"/>
      <c r="L176" s="789"/>
      <c r="M176" s="80">
        <v>0.95</v>
      </c>
      <c r="N176" s="834"/>
      <c r="O176" s="789"/>
      <c r="P176" s="80">
        <v>79.099999999999994</v>
      </c>
      <c r="Q176" s="834"/>
      <c r="R176" s="789"/>
      <c r="S176" s="80">
        <v>0.99</v>
      </c>
      <c r="T176" s="834"/>
      <c r="U176" s="789"/>
    </row>
    <row r="177" spans="2:21" x14ac:dyDescent="0.25">
      <c r="B177" s="648"/>
      <c r="C177" s="648"/>
      <c r="D177" s="628"/>
      <c r="E177" s="669"/>
      <c r="F177" s="4">
        <v>4</v>
      </c>
      <c r="G177">
        <f>6.1*(294.74/1024)</f>
        <v>1.755775390625</v>
      </c>
      <c r="H177" s="834"/>
      <c r="I177" s="789"/>
      <c r="J177">
        <f>144.6*(294.74/1024)</f>
        <v>41.620511718750002</v>
      </c>
      <c r="K177" s="834"/>
      <c r="L177" s="789"/>
      <c r="M177" s="80">
        <v>0.95</v>
      </c>
      <c r="N177" s="834"/>
      <c r="O177" s="789"/>
      <c r="P177" s="80">
        <v>82.6</v>
      </c>
      <c r="Q177" s="834"/>
      <c r="R177" s="789"/>
      <c r="S177" s="80">
        <v>0.99</v>
      </c>
      <c r="T177" s="834"/>
      <c r="U177" s="789"/>
    </row>
    <row r="178" spans="2:21" x14ac:dyDescent="0.25">
      <c r="B178" s="648"/>
      <c r="C178" s="648"/>
      <c r="D178" s="628"/>
      <c r="E178" s="670"/>
      <c r="F178" s="165">
        <v>5</v>
      </c>
      <c r="G178" s="257">
        <f>6.5*(294.74/1024)</f>
        <v>1.8709082031249999</v>
      </c>
      <c r="H178" s="836"/>
      <c r="I178" s="789"/>
      <c r="J178" s="257">
        <f>76.8*(294.74/1024)</f>
        <v>22.105499999999999</v>
      </c>
      <c r="K178" s="836"/>
      <c r="L178" s="789"/>
      <c r="M178" s="257">
        <v>0.92</v>
      </c>
      <c r="N178" s="836"/>
      <c r="O178" s="789"/>
      <c r="P178" s="257">
        <v>90.9</v>
      </c>
      <c r="Q178" s="836"/>
      <c r="R178" s="789"/>
      <c r="S178" s="257"/>
      <c r="T178" s="836"/>
      <c r="U178" s="789"/>
    </row>
    <row r="179" spans="2:21" x14ac:dyDescent="0.25">
      <c r="B179" s="648"/>
      <c r="C179" s="648"/>
      <c r="D179" s="628"/>
      <c r="E179" s="669">
        <v>3</v>
      </c>
      <c r="F179" s="4">
        <v>1</v>
      </c>
      <c r="G179">
        <f>6.5*(294.74/1024)</f>
        <v>1.8709082031249999</v>
      </c>
      <c r="H179" s="834">
        <f>AVERAGE(G179:G183)</f>
        <v>1.560049609375</v>
      </c>
      <c r="I179" s="789"/>
      <c r="J179">
        <f>78.9*(294.74/1024)</f>
        <v>22.709947265625001</v>
      </c>
      <c r="K179" s="834">
        <f>AVERAGE(J179:J183)</f>
        <v>28.253592187499997</v>
      </c>
      <c r="L179" s="789"/>
      <c r="M179" s="80">
        <v>0.92</v>
      </c>
      <c r="N179" s="834">
        <f>AVERAGE(M179:M183)</f>
        <v>0.93400000000000016</v>
      </c>
      <c r="O179" s="789"/>
      <c r="P179" s="80">
        <v>91.8</v>
      </c>
      <c r="Q179" s="834">
        <f>AVERAGE(P179:P183)</f>
        <v>84.66</v>
      </c>
      <c r="R179" s="789"/>
      <c r="S179" s="80">
        <v>0.97</v>
      </c>
      <c r="T179" s="834">
        <f>AVERAGE(S179:S183)</f>
        <v>0.97249999999999992</v>
      </c>
      <c r="U179" s="789"/>
    </row>
    <row r="180" spans="2:21" x14ac:dyDescent="0.25">
      <c r="B180" s="648"/>
      <c r="C180" s="648"/>
      <c r="D180" s="628"/>
      <c r="E180" s="669"/>
      <c r="F180" s="4">
        <v>2</v>
      </c>
      <c r="G180">
        <f>6*(294.74/1024)</f>
        <v>1.7269921875000001</v>
      </c>
      <c r="H180" s="834"/>
      <c r="I180" s="789"/>
      <c r="J180">
        <f>144.5*(294.74/1024)</f>
        <v>41.591728515625</v>
      </c>
      <c r="K180" s="834"/>
      <c r="L180" s="789"/>
      <c r="M180" s="80">
        <v>0.95</v>
      </c>
      <c r="N180" s="834"/>
      <c r="O180" s="789"/>
      <c r="P180" s="80">
        <v>96.7</v>
      </c>
      <c r="Q180" s="834"/>
      <c r="R180" s="789"/>
      <c r="S180" s="80">
        <v>0.99</v>
      </c>
      <c r="T180" s="834"/>
      <c r="U180" s="789"/>
    </row>
    <row r="181" spans="2:21" x14ac:dyDescent="0.25">
      <c r="B181" s="648"/>
      <c r="C181" s="648"/>
      <c r="D181" s="628"/>
      <c r="E181" s="669"/>
      <c r="F181" s="4">
        <v>3</v>
      </c>
      <c r="G181">
        <f>5.9*(294.74/1024)</f>
        <v>1.6982089843750001</v>
      </c>
      <c r="H181" s="834"/>
      <c r="I181" s="789"/>
      <c r="J181">
        <f>132.7*(294.74/1024)</f>
        <v>38.195310546875</v>
      </c>
      <c r="K181" s="834"/>
      <c r="L181" s="789"/>
      <c r="M181" s="80">
        <v>0.95</v>
      </c>
      <c r="N181" s="834"/>
      <c r="O181" s="789"/>
      <c r="P181" s="80">
        <v>98.4</v>
      </c>
      <c r="Q181" s="834"/>
      <c r="R181" s="789"/>
      <c r="S181" s="80">
        <v>0.98</v>
      </c>
      <c r="T181" s="834"/>
      <c r="U181" s="789"/>
    </row>
    <row r="182" spans="2:21" x14ac:dyDescent="0.25">
      <c r="B182" s="648"/>
      <c r="C182" s="648"/>
      <c r="D182" s="628"/>
      <c r="E182" s="669"/>
      <c r="F182" s="4">
        <v>4</v>
      </c>
      <c r="G182">
        <f>6.5*(294.74/1024)</f>
        <v>1.8709082031249999</v>
      </c>
      <c r="H182" s="834"/>
      <c r="I182" s="789"/>
      <c r="J182">
        <f>91.6*(294.74/1024)</f>
        <v>26.365414062499998</v>
      </c>
      <c r="K182" s="834"/>
      <c r="L182" s="789"/>
      <c r="M182" s="80">
        <v>0.93</v>
      </c>
      <c r="N182" s="834"/>
      <c r="O182" s="789"/>
      <c r="P182" s="80">
        <v>79.900000000000006</v>
      </c>
      <c r="Q182" s="834"/>
      <c r="R182" s="789"/>
      <c r="S182" s="80">
        <v>0.95</v>
      </c>
      <c r="T182" s="834"/>
      <c r="U182" s="789"/>
    </row>
    <row r="183" spans="2:21" ht="15.75" thickBot="1" x14ac:dyDescent="0.3">
      <c r="B183" s="648"/>
      <c r="C183" s="648"/>
      <c r="D183" s="629"/>
      <c r="E183" s="684"/>
      <c r="F183" s="7">
        <v>5</v>
      </c>
      <c r="G183" s="6">
        <f>2.2*(294.74/1024)</f>
        <v>0.63323046875000011</v>
      </c>
      <c r="H183" s="835"/>
      <c r="I183" s="790"/>
      <c r="J183" s="6">
        <f>43.1*(294.74/1024)</f>
        <v>12.405560546875002</v>
      </c>
      <c r="K183" s="835"/>
      <c r="L183" s="790"/>
      <c r="M183" s="81">
        <v>0.92</v>
      </c>
      <c r="N183" s="835"/>
      <c r="O183" s="790"/>
      <c r="P183" s="81">
        <v>56.5</v>
      </c>
      <c r="Q183" s="835"/>
      <c r="R183" s="790"/>
      <c r="S183" s="81"/>
      <c r="T183" s="835"/>
      <c r="U183" s="790"/>
    </row>
    <row r="184" spans="2:21" x14ac:dyDescent="0.25">
      <c r="B184" s="648"/>
      <c r="C184" s="648"/>
      <c r="D184" s="627" t="s">
        <v>267</v>
      </c>
      <c r="E184" s="665">
        <v>1</v>
      </c>
      <c r="F184" s="9">
        <v>1</v>
      </c>
      <c r="G184" s="8">
        <f>6.5*(294.74/1024)</f>
        <v>1.8709082031249999</v>
      </c>
      <c r="H184" s="837">
        <f>AVERAGE(G184:G185)</f>
        <v>1.8996914062500001</v>
      </c>
      <c r="I184" s="702">
        <f>AVERAGE(H184:H189)</f>
        <v>1.9092858072916667</v>
      </c>
      <c r="J184" s="8">
        <f>78.4*(294.74/1024)</f>
        <v>22.566031250000002</v>
      </c>
      <c r="K184" s="837">
        <f>AVERAGE(J184:J185)</f>
        <v>21.385919921875001</v>
      </c>
      <c r="L184" s="702">
        <f>AVERAGE(K184:K189)</f>
        <v>21.889625976562499</v>
      </c>
      <c r="M184" s="8">
        <v>0.92</v>
      </c>
      <c r="N184" s="837">
        <f>AVERAGE(M184:M185)</f>
        <v>0.92</v>
      </c>
      <c r="O184" s="702">
        <f>AVERAGE(N184:N189)</f>
        <v>0.91999999999999993</v>
      </c>
      <c r="P184" s="8">
        <v>90.2</v>
      </c>
      <c r="Q184" s="837">
        <f>AVERAGE(P184:P185)</f>
        <v>92.95</v>
      </c>
      <c r="R184" s="702">
        <f>AVERAGE(Q184:Q189)</f>
        <v>90.683333333333337</v>
      </c>
      <c r="S184" s="8">
        <v>0.98</v>
      </c>
      <c r="T184" s="837">
        <f>AVERAGE(S184:S185)</f>
        <v>0.98499999999999999</v>
      </c>
      <c r="U184" s="702">
        <f>AVERAGE(T184:T189)</f>
        <v>0.98166666666666658</v>
      </c>
    </row>
    <row r="185" spans="2:21" x14ac:dyDescent="0.25">
      <c r="B185" s="648"/>
      <c r="C185" s="648"/>
      <c r="D185" s="628"/>
      <c r="E185" s="745"/>
      <c r="F185" s="165">
        <v>2</v>
      </c>
      <c r="G185" s="257">
        <f>6.7*(294.74/1024)</f>
        <v>1.928474609375</v>
      </c>
      <c r="H185" s="836"/>
      <c r="I185" s="672"/>
      <c r="J185" s="257">
        <f>70.2*(294.74/1024)</f>
        <v>20.205808593750003</v>
      </c>
      <c r="K185" s="836"/>
      <c r="L185" s="672"/>
      <c r="M185" s="162">
        <v>0.92</v>
      </c>
      <c r="N185" s="836"/>
      <c r="O185" s="672"/>
      <c r="P185" s="162">
        <v>95.7</v>
      </c>
      <c r="Q185" s="836"/>
      <c r="R185" s="672"/>
      <c r="S185" s="162">
        <v>0.99</v>
      </c>
      <c r="T185" s="836"/>
      <c r="U185" s="672"/>
    </row>
    <row r="186" spans="2:21" x14ac:dyDescent="0.25">
      <c r="B186" s="648"/>
      <c r="C186" s="648"/>
      <c r="D186" s="628"/>
      <c r="E186" s="666">
        <v>2</v>
      </c>
      <c r="F186" s="4">
        <v>1</v>
      </c>
      <c r="G186">
        <f>6.6*(294.74/1024)</f>
        <v>1.8996914062499999</v>
      </c>
      <c r="H186" s="834">
        <f>AVERAGE(G186:G187)</f>
        <v>1.8996914062499999</v>
      </c>
      <c r="I186" s="672"/>
      <c r="J186">
        <f>68*(294.74/1024)</f>
        <v>19.572578125</v>
      </c>
      <c r="K186" s="834">
        <f>AVERAGE(J186:J187)</f>
        <v>20.594381835937497</v>
      </c>
      <c r="L186" s="672"/>
      <c r="M186">
        <v>0.91</v>
      </c>
      <c r="N186" s="834">
        <f>AVERAGE(M186:M187)</f>
        <v>0.91500000000000004</v>
      </c>
      <c r="O186" s="672"/>
      <c r="P186">
        <v>92</v>
      </c>
      <c r="Q186" s="834">
        <f>AVERAGE(P186:P187)</f>
        <v>91.35</v>
      </c>
      <c r="R186" s="672"/>
      <c r="S186">
        <v>0.97</v>
      </c>
      <c r="T186" s="834">
        <f>AVERAGE(S186:S187)</f>
        <v>0.98</v>
      </c>
      <c r="U186" s="672"/>
    </row>
    <row r="187" spans="2:21" x14ac:dyDescent="0.25">
      <c r="B187" s="648"/>
      <c r="C187" s="648"/>
      <c r="D187" s="628"/>
      <c r="E187" s="745"/>
      <c r="F187" s="165">
        <v>2</v>
      </c>
      <c r="G187" s="257">
        <f>6.6*(294.74/1024)</f>
        <v>1.8996914062499999</v>
      </c>
      <c r="H187" s="836"/>
      <c r="I187" s="672"/>
      <c r="J187" s="257">
        <f>75.1*(294.74/1024)</f>
        <v>21.616185546874998</v>
      </c>
      <c r="K187" s="836"/>
      <c r="L187" s="672"/>
      <c r="M187" s="162">
        <v>0.92</v>
      </c>
      <c r="N187" s="836"/>
      <c r="O187" s="672"/>
      <c r="P187" s="162">
        <v>90.7</v>
      </c>
      <c r="Q187" s="836"/>
      <c r="R187" s="672"/>
      <c r="S187" s="162">
        <v>0.99</v>
      </c>
      <c r="T187" s="836"/>
      <c r="U187" s="672"/>
    </row>
    <row r="188" spans="2:21" x14ac:dyDescent="0.25">
      <c r="B188" s="648"/>
      <c r="C188" s="648"/>
      <c r="D188" s="628"/>
      <c r="E188" s="666">
        <v>3</v>
      </c>
      <c r="F188" s="4">
        <v>1</v>
      </c>
      <c r="G188">
        <f>6.8*(294.74/1024)</f>
        <v>1.9572578125</v>
      </c>
      <c r="H188" s="834">
        <f>AVERAGE(G188:G189)</f>
        <v>1.9284746093749998</v>
      </c>
      <c r="I188" s="672"/>
      <c r="J188">
        <f>84.6*(294.74/1024)</f>
        <v>24.350589843750001</v>
      </c>
      <c r="K188" s="834">
        <f>AVERAGE(J188:J189)</f>
        <v>23.688576171874999</v>
      </c>
      <c r="L188" s="672"/>
      <c r="M188">
        <v>0.93</v>
      </c>
      <c r="N188" s="834">
        <f>AVERAGE(M188:M189)</f>
        <v>0.92500000000000004</v>
      </c>
      <c r="O188" s="672"/>
      <c r="P188">
        <v>85.3</v>
      </c>
      <c r="Q188" s="834">
        <f>AVERAGE(P188:P189)</f>
        <v>87.75</v>
      </c>
      <c r="R188" s="672"/>
      <c r="S188">
        <v>0.97</v>
      </c>
      <c r="T188" s="834">
        <f>AVERAGE(S188:S189)</f>
        <v>0.98</v>
      </c>
      <c r="U188" s="672"/>
    </row>
    <row r="189" spans="2:21" ht="15.75" thickBot="1" x14ac:dyDescent="0.3">
      <c r="B189" s="648"/>
      <c r="C189" s="648"/>
      <c r="D189" s="629"/>
      <c r="E189" s="683"/>
      <c r="F189" s="7">
        <v>2</v>
      </c>
      <c r="G189" s="6">
        <f>6.6*(294.74/1024)</f>
        <v>1.8996914062499999</v>
      </c>
      <c r="H189" s="835"/>
      <c r="I189" s="703"/>
      <c r="J189" s="6">
        <f>80*(294.74/1024)</f>
        <v>23.026562500000001</v>
      </c>
      <c r="K189" s="835"/>
      <c r="L189" s="703"/>
      <c r="M189" s="6">
        <v>0.92</v>
      </c>
      <c r="N189" s="835"/>
      <c r="O189" s="703"/>
      <c r="P189" s="6">
        <v>90.2</v>
      </c>
      <c r="Q189" s="835"/>
      <c r="R189" s="703"/>
      <c r="S189" s="6">
        <v>0.99</v>
      </c>
      <c r="T189" s="835"/>
      <c r="U189" s="703"/>
    </row>
    <row r="190" spans="2:21" x14ac:dyDescent="0.25">
      <c r="B190" s="648"/>
      <c r="C190" s="648"/>
      <c r="D190" s="627" t="s">
        <v>299</v>
      </c>
      <c r="E190" s="665">
        <v>1</v>
      </c>
      <c r="F190" s="4">
        <v>1</v>
      </c>
      <c r="G190" s="43">
        <f>6.7*(294.74/1024)</f>
        <v>1.928474609375</v>
      </c>
      <c r="H190" s="701">
        <f>AVERAGE(G190:G192)</f>
        <v>1.9188802083333334</v>
      </c>
      <c r="I190" s="832">
        <f>AVERAGE(H190:H198)</f>
        <v>1.9252764756944443</v>
      </c>
      <c r="J190" s="37">
        <f>94.2*(294.74/1024)</f>
        <v>27.113777343750002</v>
      </c>
      <c r="K190" s="701">
        <f>AVERAGE(J190:J192)</f>
        <v>26.125554036458336</v>
      </c>
      <c r="L190" s="832">
        <f>AVERAGE(K190:K198)</f>
        <v>25.428360894097224</v>
      </c>
      <c r="M190">
        <v>0.93</v>
      </c>
      <c r="N190" s="701">
        <f>AVERAGE(M190:M192)</f>
        <v>0.93</v>
      </c>
      <c r="O190" s="832">
        <f>AVERAGE(N190:N198)</f>
        <v>0.93</v>
      </c>
      <c r="P190">
        <v>84</v>
      </c>
      <c r="Q190" s="701">
        <f>AVERAGE(P190:P192)</f>
        <v>94.333333333333329</v>
      </c>
      <c r="R190" s="832">
        <f>AVERAGE(Q190:Q198)</f>
        <v>93.166666666666671</v>
      </c>
      <c r="S190">
        <v>0.97</v>
      </c>
      <c r="T190" s="701">
        <f>AVERAGE(S190:S192)</f>
        <v>0.96666666666666667</v>
      </c>
      <c r="U190" s="832">
        <f>AVERAGE(T190:T198)</f>
        <v>0.96333333333333337</v>
      </c>
    </row>
    <row r="191" spans="2:21" x14ac:dyDescent="0.25">
      <c r="B191" s="648"/>
      <c r="C191" s="648"/>
      <c r="D191" s="628"/>
      <c r="E191" s="666"/>
      <c r="F191" s="4">
        <v>2</v>
      </c>
      <c r="G191" s="44">
        <f>6.7*(294.74/1024)</f>
        <v>1.928474609375</v>
      </c>
      <c r="H191" s="669"/>
      <c r="I191" s="789"/>
      <c r="J191" s="37">
        <f>86.9*(294.74/1024)</f>
        <v>25.012603515625003</v>
      </c>
      <c r="K191" s="669"/>
      <c r="L191" s="789"/>
      <c r="M191">
        <v>0.93</v>
      </c>
      <c r="N191" s="669"/>
      <c r="O191" s="789"/>
      <c r="P191">
        <v>91.5</v>
      </c>
      <c r="Q191" s="669"/>
      <c r="R191" s="789"/>
      <c r="S191">
        <v>0.94</v>
      </c>
      <c r="T191" s="669"/>
      <c r="U191" s="789"/>
    </row>
    <row r="192" spans="2:21" x14ac:dyDescent="0.25">
      <c r="B192" s="648"/>
      <c r="C192" s="648"/>
      <c r="D192" s="628"/>
      <c r="E192" s="745"/>
      <c r="F192" s="165">
        <v>3</v>
      </c>
      <c r="G192" s="426">
        <f>6.6*(294.74/1024)</f>
        <v>1.8996914062499999</v>
      </c>
      <c r="H192" s="670"/>
      <c r="I192" s="789"/>
      <c r="J192" s="151">
        <f>91.2*(294.74/1024)</f>
        <v>26.25028125</v>
      </c>
      <c r="K192" s="670"/>
      <c r="L192" s="789"/>
      <c r="M192" s="162">
        <v>0.93</v>
      </c>
      <c r="N192" s="670"/>
      <c r="O192" s="789"/>
      <c r="P192" s="162">
        <v>107.5</v>
      </c>
      <c r="Q192" s="670"/>
      <c r="R192" s="789"/>
      <c r="S192" s="162">
        <v>0.99</v>
      </c>
      <c r="T192" s="670"/>
      <c r="U192" s="789"/>
    </row>
    <row r="193" spans="2:21" x14ac:dyDescent="0.25">
      <c r="B193" s="648"/>
      <c r="C193" s="648"/>
      <c r="D193" s="628"/>
      <c r="E193" s="666">
        <v>2</v>
      </c>
      <c r="F193" s="4">
        <v>1</v>
      </c>
      <c r="G193" s="44">
        <f>6.7*(294.74/1024)</f>
        <v>1.928474609375</v>
      </c>
      <c r="H193" s="753">
        <f>AVERAGE(G193:G195)</f>
        <v>1.8996914062499999</v>
      </c>
      <c r="I193" s="789"/>
      <c r="J193" s="37">
        <f>88.6*(294.74/1024)</f>
        <v>25.50191796875</v>
      </c>
      <c r="K193" s="753">
        <f>AVERAGE(J193:J195)</f>
        <v>24.955037109374999</v>
      </c>
      <c r="L193" s="789"/>
      <c r="M193">
        <v>0.93</v>
      </c>
      <c r="N193" s="753">
        <f>AVERAGE(M193:M195)</f>
        <v>0.93</v>
      </c>
      <c r="O193" s="789"/>
      <c r="P193">
        <v>89.9</v>
      </c>
      <c r="Q193" s="753">
        <f>AVERAGE(P193:P195)</f>
        <v>92.933333333333323</v>
      </c>
      <c r="R193" s="789"/>
      <c r="S193">
        <v>0.99</v>
      </c>
      <c r="T193" s="753">
        <f>AVERAGE(S193:S195)</f>
        <v>0.96333333333333337</v>
      </c>
      <c r="U193" s="789"/>
    </row>
    <row r="194" spans="2:21" x14ac:dyDescent="0.25">
      <c r="B194" s="648"/>
      <c r="C194" s="648"/>
      <c r="D194" s="628"/>
      <c r="E194" s="666"/>
      <c r="F194" s="4">
        <v>2</v>
      </c>
      <c r="G194" s="44">
        <f>6.6*(294.74/1024)</f>
        <v>1.8996914062499999</v>
      </c>
      <c r="H194" s="669"/>
      <c r="I194" s="789"/>
      <c r="J194" s="37">
        <f>89.2*(294.74/1024)</f>
        <v>25.674617187500001</v>
      </c>
      <c r="K194" s="669"/>
      <c r="L194" s="789"/>
      <c r="M194">
        <v>0.93</v>
      </c>
      <c r="N194" s="669"/>
      <c r="O194" s="789"/>
      <c r="P194">
        <v>97.8</v>
      </c>
      <c r="Q194" s="669"/>
      <c r="R194" s="789"/>
      <c r="S194">
        <v>0.99</v>
      </c>
      <c r="T194" s="669"/>
      <c r="U194" s="789"/>
    </row>
    <row r="195" spans="2:21" x14ac:dyDescent="0.25">
      <c r="B195" s="648"/>
      <c r="C195" s="648"/>
      <c r="D195" s="628"/>
      <c r="E195" s="745"/>
      <c r="F195" s="165">
        <v>3</v>
      </c>
      <c r="G195" s="426">
        <f>6.5*(294.74/1024)</f>
        <v>1.8709082031249999</v>
      </c>
      <c r="H195" s="670"/>
      <c r="I195" s="789"/>
      <c r="J195" s="151">
        <f>82.3*(294.74/1024)</f>
        <v>23.688576171874999</v>
      </c>
      <c r="K195" s="670"/>
      <c r="L195" s="789"/>
      <c r="M195" s="162">
        <v>0.93</v>
      </c>
      <c r="N195" s="670"/>
      <c r="O195" s="789"/>
      <c r="P195" s="162">
        <v>91.1</v>
      </c>
      <c r="Q195" s="670"/>
      <c r="R195" s="789"/>
      <c r="S195" s="162">
        <v>0.91</v>
      </c>
      <c r="T195" s="670"/>
      <c r="U195" s="789"/>
    </row>
    <row r="196" spans="2:21" x14ac:dyDescent="0.25">
      <c r="B196" s="648"/>
      <c r="C196" s="648"/>
      <c r="D196" s="628"/>
      <c r="E196" s="666">
        <v>3</v>
      </c>
      <c r="F196" s="4">
        <v>1</v>
      </c>
      <c r="G196" s="44">
        <f>6.8*(294.74/1024)</f>
        <v>1.9572578125</v>
      </c>
      <c r="H196" s="753">
        <f>AVERAGE(G196:G198)</f>
        <v>1.9572578125</v>
      </c>
      <c r="I196" s="789"/>
      <c r="J196" s="37">
        <f>86.8*(294.74/1024)</f>
        <v>24.983820312500001</v>
      </c>
      <c r="K196" s="753">
        <f>AVERAGE(J196:J198)</f>
        <v>25.204491536458335</v>
      </c>
      <c r="L196" s="789"/>
      <c r="M196">
        <v>0.93</v>
      </c>
      <c r="N196" s="753">
        <f>AVERAGE(M196:M198)</f>
        <v>0.93</v>
      </c>
      <c r="O196" s="789"/>
      <c r="P196">
        <v>92.9</v>
      </c>
      <c r="Q196" s="753">
        <f>AVERAGE(P196:P198)</f>
        <v>92.233333333333334</v>
      </c>
      <c r="R196" s="789"/>
      <c r="S196">
        <v>0.96</v>
      </c>
      <c r="T196" s="753">
        <f>AVERAGE(S196:S198)</f>
        <v>0.96</v>
      </c>
      <c r="U196" s="789"/>
    </row>
    <row r="197" spans="2:21" x14ac:dyDescent="0.25">
      <c r="B197" s="648"/>
      <c r="C197" s="648"/>
      <c r="D197" s="628"/>
      <c r="E197" s="666"/>
      <c r="F197" s="4">
        <v>2</v>
      </c>
      <c r="G197" s="44">
        <f>6.7*(294.74/1024)</f>
        <v>1.928474609375</v>
      </c>
      <c r="H197" s="669"/>
      <c r="I197" s="789"/>
      <c r="J197" s="37">
        <f>85.5*(294.74/1024)</f>
        <v>24.609638671875</v>
      </c>
      <c r="K197" s="669"/>
      <c r="L197" s="789"/>
      <c r="M197">
        <v>0.93</v>
      </c>
      <c r="N197" s="669"/>
      <c r="O197" s="789"/>
      <c r="P197">
        <v>94.3</v>
      </c>
      <c r="Q197" s="669"/>
      <c r="R197" s="789"/>
      <c r="S197">
        <v>0.93</v>
      </c>
      <c r="T197" s="669"/>
      <c r="U197" s="789"/>
    </row>
    <row r="198" spans="2:21" ht="15.75" thickBot="1" x14ac:dyDescent="0.3">
      <c r="B198" s="656"/>
      <c r="C198" s="656"/>
      <c r="D198" s="629"/>
      <c r="E198" s="683"/>
      <c r="F198" s="4">
        <v>3</v>
      </c>
      <c r="G198" s="32">
        <f>6.9*(294.74/1024)</f>
        <v>1.9860410156250001</v>
      </c>
      <c r="H198" s="684"/>
      <c r="I198" s="790"/>
      <c r="J198" s="37">
        <f>90.4*(294.74/1024)</f>
        <v>26.020015625000003</v>
      </c>
      <c r="K198" s="684"/>
      <c r="L198" s="790"/>
      <c r="M198">
        <v>0.93</v>
      </c>
      <c r="N198" s="684"/>
      <c r="O198" s="790"/>
      <c r="P198">
        <v>89.5</v>
      </c>
      <c r="Q198" s="684"/>
      <c r="R198" s="790"/>
      <c r="S198">
        <v>0.99</v>
      </c>
      <c r="T198" s="684"/>
      <c r="U198" s="790"/>
    </row>
    <row r="199" spans="2:21" x14ac:dyDescent="0.25">
      <c r="B199" s="647" t="s">
        <v>231</v>
      </c>
      <c r="C199" s="647" t="s">
        <v>92</v>
      </c>
      <c r="D199" s="627" t="s">
        <v>252</v>
      </c>
      <c r="E199" s="701">
        <v>1</v>
      </c>
      <c r="F199" s="9">
        <v>1</v>
      </c>
      <c r="G199" s="8">
        <f>6.5*(294.74/1024)</f>
        <v>1.8709082031249999</v>
      </c>
      <c r="H199" s="837">
        <f>AVERAGE(G199:G203)</f>
        <v>1.8709082031250002</v>
      </c>
      <c r="I199" s="832">
        <f>AVERAGE(H199:H213)</f>
        <v>1.8747459635416668</v>
      </c>
      <c r="J199" s="8">
        <f>86.2*(294.74/1024)</f>
        <v>24.811121093750003</v>
      </c>
      <c r="K199" s="837">
        <f>AVERAGE(J199:J203)</f>
        <v>23.740385937500001</v>
      </c>
      <c r="L199" s="832">
        <f>AVERAGE(K199:K213)</f>
        <v>24.490668098958334</v>
      </c>
      <c r="M199" s="375">
        <v>0.92</v>
      </c>
      <c r="N199" s="837">
        <f>AVERAGE(M199:M203)</f>
        <v>0.92200000000000004</v>
      </c>
      <c r="O199" s="832">
        <f>AVERAGE(N199:N213)</f>
        <v>0.92200000000000004</v>
      </c>
      <c r="P199" s="375">
        <v>99.3</v>
      </c>
      <c r="Q199" s="837">
        <f>AVERAGE(P199:P203)</f>
        <v>89.12</v>
      </c>
      <c r="R199" s="832">
        <f>AVERAGE(Q199:Q213)</f>
        <v>83.220000000000013</v>
      </c>
      <c r="S199" s="375">
        <v>0.99</v>
      </c>
      <c r="T199" s="837">
        <f>AVERAGE(S199:S203)</f>
        <v>0.96000000000000019</v>
      </c>
      <c r="U199" s="832">
        <f>AVERAGE(T199:T213)</f>
        <v>0.97200000000000009</v>
      </c>
    </row>
    <row r="200" spans="2:21" x14ac:dyDescent="0.25">
      <c r="B200" s="648"/>
      <c r="C200" s="648"/>
      <c r="D200" s="628"/>
      <c r="E200" s="669"/>
      <c r="F200" s="4">
        <v>2</v>
      </c>
      <c r="G200">
        <f>6.4*(294.74/1024)</f>
        <v>1.8421250000000002</v>
      </c>
      <c r="H200" s="834"/>
      <c r="I200" s="789"/>
      <c r="J200">
        <f>91.1*(294.74/1024)</f>
        <v>26.221498046874999</v>
      </c>
      <c r="K200" s="834"/>
      <c r="L200" s="789"/>
      <c r="M200" s="80">
        <v>0.93</v>
      </c>
      <c r="N200" s="834"/>
      <c r="O200" s="789"/>
      <c r="P200" s="80">
        <v>96.4</v>
      </c>
      <c r="Q200" s="834"/>
      <c r="R200" s="789"/>
      <c r="S200" s="80">
        <v>0.99</v>
      </c>
      <c r="T200" s="834"/>
      <c r="U200" s="789"/>
    </row>
    <row r="201" spans="2:21" x14ac:dyDescent="0.25">
      <c r="B201" s="648"/>
      <c r="C201" s="648"/>
      <c r="D201" s="628"/>
      <c r="E201" s="669"/>
      <c r="F201" s="4">
        <v>3</v>
      </c>
      <c r="G201">
        <f>6.6*(294.74/1024)</f>
        <v>1.8996914062499999</v>
      </c>
      <c r="H201" s="834"/>
      <c r="I201" s="789"/>
      <c r="J201">
        <f>72.1*(294.74/1024)</f>
        <v>20.752689453124997</v>
      </c>
      <c r="K201" s="834"/>
      <c r="L201" s="789"/>
      <c r="M201" s="80">
        <v>0.92</v>
      </c>
      <c r="N201" s="834"/>
      <c r="O201" s="789"/>
      <c r="P201" s="80">
        <v>85.9</v>
      </c>
      <c r="Q201" s="834"/>
      <c r="R201" s="789"/>
      <c r="S201" s="80">
        <v>0.97</v>
      </c>
      <c r="T201" s="834"/>
      <c r="U201" s="789"/>
    </row>
    <row r="202" spans="2:21" x14ac:dyDescent="0.25">
      <c r="B202" s="648"/>
      <c r="C202" s="648"/>
      <c r="D202" s="628"/>
      <c r="E202" s="669"/>
      <c r="F202" s="4">
        <v>4</v>
      </c>
      <c r="G202">
        <f>6.4*(294.74/1024)</f>
        <v>1.8421250000000002</v>
      </c>
      <c r="H202" s="834"/>
      <c r="I202" s="789"/>
      <c r="J202">
        <f>81.9*(294.74/1024)</f>
        <v>23.573443359375002</v>
      </c>
      <c r="K202" s="834"/>
      <c r="L202" s="789"/>
      <c r="M202" s="80">
        <v>0.92</v>
      </c>
      <c r="N202" s="834"/>
      <c r="O202" s="789"/>
      <c r="P202" s="80">
        <v>89.6</v>
      </c>
      <c r="Q202" s="834"/>
      <c r="R202" s="789"/>
      <c r="S202" s="80">
        <v>0.99</v>
      </c>
      <c r="T202" s="834"/>
      <c r="U202" s="789"/>
    </row>
    <row r="203" spans="2:21" x14ac:dyDescent="0.25">
      <c r="B203" s="648"/>
      <c r="C203" s="648"/>
      <c r="D203" s="628"/>
      <c r="E203" s="670"/>
      <c r="F203" s="165">
        <v>5</v>
      </c>
      <c r="G203" s="257">
        <f>6.6*(294.74/1024)</f>
        <v>1.8996914062499999</v>
      </c>
      <c r="H203" s="836"/>
      <c r="I203" s="789"/>
      <c r="J203" s="257">
        <f>81.1*(294.74/1024)</f>
        <v>23.343177734375001</v>
      </c>
      <c r="K203" s="836"/>
      <c r="L203" s="789"/>
      <c r="M203" s="257">
        <v>0.92</v>
      </c>
      <c r="N203" s="836"/>
      <c r="O203" s="789"/>
      <c r="P203" s="257">
        <v>74.400000000000006</v>
      </c>
      <c r="Q203" s="836"/>
      <c r="R203" s="789"/>
      <c r="S203" s="257">
        <v>0.86</v>
      </c>
      <c r="T203" s="836"/>
      <c r="U203" s="789"/>
    </row>
    <row r="204" spans="2:21" x14ac:dyDescent="0.25">
      <c r="B204" s="648"/>
      <c r="C204" s="648"/>
      <c r="D204" s="628"/>
      <c r="E204" s="669">
        <v>2</v>
      </c>
      <c r="F204" s="4">
        <v>1</v>
      </c>
      <c r="G204">
        <f>6.7*(294.74/1024)</f>
        <v>1.928474609375</v>
      </c>
      <c r="H204" s="834">
        <f>AVERAGE(G204:G208)</f>
        <v>1.8593949218750001</v>
      </c>
      <c r="I204" s="789"/>
      <c r="J204">
        <f>76.5*(294.74/1024)</f>
        <v>22.019150390625001</v>
      </c>
      <c r="K204" s="834">
        <f>AVERAGE(J204:J208)</f>
        <v>26.135148437500003</v>
      </c>
      <c r="L204" s="789"/>
      <c r="M204" s="80">
        <v>0.92</v>
      </c>
      <c r="N204" s="834">
        <f>AVERAGE(M204:M208)</f>
        <v>0.92400000000000004</v>
      </c>
      <c r="O204" s="789"/>
      <c r="P204" s="80">
        <v>75.900000000000006</v>
      </c>
      <c r="Q204" s="834">
        <f>AVERAGE(P204:P208)</f>
        <v>81.72</v>
      </c>
      <c r="R204" s="789"/>
      <c r="S204" s="80">
        <v>0.96</v>
      </c>
      <c r="T204" s="834">
        <f>AVERAGE(S204:S208)</f>
        <v>0.97599999999999998</v>
      </c>
      <c r="U204" s="789"/>
    </row>
    <row r="205" spans="2:21" x14ac:dyDescent="0.25">
      <c r="B205" s="648"/>
      <c r="C205" s="648"/>
      <c r="D205" s="628"/>
      <c r="E205" s="669"/>
      <c r="F205" s="4">
        <v>2</v>
      </c>
      <c r="G205">
        <f>6.5*(294.74/1024)</f>
        <v>1.8709082031249999</v>
      </c>
      <c r="H205" s="834"/>
      <c r="I205" s="789"/>
      <c r="J205">
        <f>77.5*(294.74/1024)</f>
        <v>22.306982421875002</v>
      </c>
      <c r="K205" s="834"/>
      <c r="L205" s="789"/>
      <c r="M205" s="80">
        <v>0.91</v>
      </c>
      <c r="N205" s="834"/>
      <c r="O205" s="789"/>
      <c r="P205" s="80">
        <v>87.1</v>
      </c>
      <c r="Q205" s="834"/>
      <c r="R205" s="789"/>
      <c r="S205" s="80">
        <v>0.99</v>
      </c>
      <c r="T205" s="834"/>
      <c r="U205" s="789"/>
    </row>
    <row r="206" spans="2:21" x14ac:dyDescent="0.25">
      <c r="B206" s="648"/>
      <c r="C206" s="648"/>
      <c r="D206" s="628"/>
      <c r="E206" s="669"/>
      <c r="F206" s="4">
        <v>3</v>
      </c>
      <c r="G206">
        <f>6.5*(294.74/1024)</f>
        <v>1.8709082031249999</v>
      </c>
      <c r="H206" s="834"/>
      <c r="I206" s="789"/>
      <c r="J206">
        <f>79.5*(294.74/1024)</f>
        <v>22.882646484375002</v>
      </c>
      <c r="K206" s="834"/>
      <c r="L206" s="789"/>
      <c r="M206" s="80">
        <v>0.92</v>
      </c>
      <c r="N206" s="834"/>
      <c r="O206" s="789"/>
      <c r="P206" s="80">
        <v>86.4</v>
      </c>
      <c r="Q206" s="834"/>
      <c r="R206" s="789"/>
      <c r="S206" s="80">
        <v>0.99</v>
      </c>
      <c r="T206" s="834"/>
      <c r="U206" s="789"/>
    </row>
    <row r="207" spans="2:21" x14ac:dyDescent="0.25">
      <c r="B207" s="648"/>
      <c r="C207" s="648"/>
      <c r="D207" s="628"/>
      <c r="E207" s="669"/>
      <c r="F207" s="4">
        <v>4</v>
      </c>
      <c r="G207">
        <f>6.1*(294.74/1024)</f>
        <v>1.755775390625</v>
      </c>
      <c r="H207" s="834"/>
      <c r="I207" s="789"/>
      <c r="J207">
        <f>133*(294.74/1024)</f>
        <v>38.281660156249998</v>
      </c>
      <c r="K207" s="834"/>
      <c r="L207" s="789"/>
      <c r="M207" s="80">
        <v>0.95</v>
      </c>
      <c r="N207" s="834"/>
      <c r="O207" s="789"/>
      <c r="P207" s="80">
        <v>75</v>
      </c>
      <c r="Q207" s="834"/>
      <c r="R207" s="789"/>
      <c r="S207" s="80">
        <v>0.99</v>
      </c>
      <c r="T207" s="834"/>
      <c r="U207" s="789"/>
    </row>
    <row r="208" spans="2:21" x14ac:dyDescent="0.25">
      <c r="B208" s="648"/>
      <c r="C208" s="648"/>
      <c r="D208" s="628"/>
      <c r="E208" s="670"/>
      <c r="F208" s="165">
        <v>5</v>
      </c>
      <c r="G208" s="257">
        <f>6.5*(294.74/1024)</f>
        <v>1.8709082031249999</v>
      </c>
      <c r="H208" s="836"/>
      <c r="I208" s="789"/>
      <c r="J208" s="257">
        <f>87.5*(294.74/1024)</f>
        <v>25.185302734375</v>
      </c>
      <c r="K208" s="836"/>
      <c r="L208" s="789"/>
      <c r="M208" s="257">
        <v>0.92</v>
      </c>
      <c r="N208" s="836"/>
      <c r="O208" s="789"/>
      <c r="P208" s="257">
        <v>84.2</v>
      </c>
      <c r="Q208" s="836"/>
      <c r="R208" s="789"/>
      <c r="S208" s="257">
        <v>0.95</v>
      </c>
      <c r="T208" s="836"/>
      <c r="U208" s="789"/>
    </row>
    <row r="209" spans="2:21" x14ac:dyDescent="0.25">
      <c r="B209" s="648"/>
      <c r="C209" s="648"/>
      <c r="D209" s="628"/>
      <c r="E209" s="669">
        <v>3</v>
      </c>
      <c r="F209" s="4">
        <v>1</v>
      </c>
      <c r="G209">
        <f>6.5*(294.74/1024)</f>
        <v>1.8709082031249999</v>
      </c>
      <c r="H209" s="834">
        <f>AVERAGE(G209:G213)</f>
        <v>1.8939347656250001</v>
      </c>
      <c r="I209" s="789"/>
      <c r="J209">
        <f>85.1*(294.74/1024)</f>
        <v>24.494505859375</v>
      </c>
      <c r="K209" s="834">
        <f>AVERAGE(J209:J213)</f>
        <v>23.596469921875002</v>
      </c>
      <c r="L209" s="789"/>
      <c r="M209" s="80">
        <v>0.92</v>
      </c>
      <c r="N209" s="834">
        <f>AVERAGE(M209:M213)</f>
        <v>0.91999999999999993</v>
      </c>
      <c r="O209" s="789"/>
      <c r="P209" s="80">
        <v>85.6</v>
      </c>
      <c r="Q209" s="834">
        <f>AVERAGE(P209:P213)</f>
        <v>78.820000000000007</v>
      </c>
      <c r="R209" s="789"/>
      <c r="S209" s="80">
        <v>0.99</v>
      </c>
      <c r="T209" s="834">
        <f>AVERAGE(S209:S213)</f>
        <v>0.98</v>
      </c>
      <c r="U209" s="789"/>
    </row>
    <row r="210" spans="2:21" x14ac:dyDescent="0.25">
      <c r="B210" s="648"/>
      <c r="C210" s="648"/>
      <c r="D210" s="628"/>
      <c r="E210" s="669"/>
      <c r="F210" s="4">
        <v>2</v>
      </c>
      <c r="G210">
        <f>6.7*(294.74/1024)</f>
        <v>1.928474609375</v>
      </c>
      <c r="H210" s="834"/>
      <c r="I210" s="789"/>
      <c r="J210">
        <f>74*(294.74/1024)</f>
        <v>21.299570312500002</v>
      </c>
      <c r="K210" s="834"/>
      <c r="L210" s="789"/>
      <c r="M210" s="80">
        <v>0.91</v>
      </c>
      <c r="N210" s="834"/>
      <c r="O210" s="789"/>
      <c r="P210" s="80">
        <v>74.599999999999994</v>
      </c>
      <c r="Q210" s="834"/>
      <c r="R210" s="789"/>
      <c r="S210" s="80">
        <v>0.96</v>
      </c>
      <c r="T210" s="834"/>
      <c r="U210" s="789"/>
    </row>
    <row r="211" spans="2:21" x14ac:dyDescent="0.25">
      <c r="B211" s="648"/>
      <c r="C211" s="648"/>
      <c r="D211" s="628"/>
      <c r="E211" s="669"/>
      <c r="F211" s="4">
        <v>3</v>
      </c>
      <c r="G211">
        <f>6.5*(294.74/1024)</f>
        <v>1.8709082031249999</v>
      </c>
      <c r="H211" s="834"/>
      <c r="I211" s="789"/>
      <c r="J211">
        <f>78.8*(294.74/1024)</f>
        <v>22.681164062499999</v>
      </c>
      <c r="K211" s="834"/>
      <c r="L211" s="789"/>
      <c r="M211" s="80">
        <v>0.92</v>
      </c>
      <c r="N211" s="834"/>
      <c r="O211" s="789"/>
      <c r="P211" s="80">
        <v>78.400000000000006</v>
      </c>
      <c r="Q211" s="834"/>
      <c r="R211" s="789"/>
      <c r="S211" s="80">
        <v>0.99</v>
      </c>
      <c r="T211" s="834"/>
      <c r="U211" s="789"/>
    </row>
    <row r="212" spans="2:21" x14ac:dyDescent="0.25">
      <c r="B212" s="648"/>
      <c r="C212" s="648"/>
      <c r="D212" s="628"/>
      <c r="E212" s="669"/>
      <c r="F212" s="4">
        <v>4</v>
      </c>
      <c r="G212">
        <f>6.4*(294.74/1024)</f>
        <v>1.8421250000000002</v>
      </c>
      <c r="H212" s="834"/>
      <c r="I212" s="789"/>
      <c r="J212">
        <f>99.1*(294.74/1024)</f>
        <v>28.524154296875</v>
      </c>
      <c r="K212" s="834"/>
      <c r="L212" s="789"/>
      <c r="M212" s="80">
        <v>0.94</v>
      </c>
      <c r="N212" s="834"/>
      <c r="O212" s="789"/>
      <c r="P212" s="80">
        <v>79.900000000000006</v>
      </c>
      <c r="Q212" s="834"/>
      <c r="R212" s="789"/>
      <c r="S212" s="80">
        <v>0.98</v>
      </c>
      <c r="T212" s="834"/>
      <c r="U212" s="789"/>
    </row>
    <row r="213" spans="2:21" ht="15.75" thickBot="1" x14ac:dyDescent="0.3">
      <c r="B213" s="648"/>
      <c r="C213" s="648"/>
      <c r="D213" s="629"/>
      <c r="E213" s="684"/>
      <c r="F213" s="7">
        <v>5</v>
      </c>
      <c r="G213" s="6">
        <f>6.8*(294.74/1024)</f>
        <v>1.9572578125</v>
      </c>
      <c r="H213" s="835"/>
      <c r="I213" s="790"/>
      <c r="J213" s="6">
        <f>72.9*(294.74/1024)</f>
        <v>20.982955078125002</v>
      </c>
      <c r="K213" s="835"/>
      <c r="L213" s="790"/>
      <c r="M213" s="81">
        <v>0.91</v>
      </c>
      <c r="N213" s="835"/>
      <c r="O213" s="790"/>
      <c r="P213" s="81">
        <v>75.599999999999994</v>
      </c>
      <c r="Q213" s="835"/>
      <c r="R213" s="790"/>
      <c r="S213" s="81"/>
      <c r="T213" s="835"/>
      <c r="U213" s="790"/>
    </row>
    <row r="214" spans="2:21" x14ac:dyDescent="0.25">
      <c r="B214" s="648"/>
      <c r="C214" s="648"/>
      <c r="D214" s="627" t="s">
        <v>299</v>
      </c>
      <c r="E214" s="665">
        <v>1</v>
      </c>
      <c r="F214" s="9">
        <v>1</v>
      </c>
      <c r="G214" s="8">
        <f>6.1*(294.74/1024)</f>
        <v>1.755775390625</v>
      </c>
      <c r="H214" s="837">
        <f>AVERAGE(G214:G215)</f>
        <v>1.8133417968750001</v>
      </c>
      <c r="I214" s="702">
        <f>AVERAGE(H214:H219)</f>
        <v>1.8517194010416667</v>
      </c>
      <c r="J214" s="8">
        <f>141.4*(294.74/1024)</f>
        <v>40.699449218750004</v>
      </c>
      <c r="K214" s="837">
        <f>AVERAGE(J214:J215)</f>
        <v>39.1595478515625</v>
      </c>
      <c r="L214" s="702">
        <f>AVERAGE(K214:K219)</f>
        <v>37.518905273437497</v>
      </c>
      <c r="M214" s="375">
        <v>0.95</v>
      </c>
      <c r="N214" s="837">
        <f>AVERAGE(M214:M215)</f>
        <v>0.94499999999999995</v>
      </c>
      <c r="O214" s="702">
        <f>AVERAGE(N214:N219)</f>
        <v>0.94666666666666666</v>
      </c>
      <c r="P214" s="8">
        <v>89.7</v>
      </c>
      <c r="Q214" s="837">
        <f>AVERAGE(P214:P215)</f>
        <v>86.800000000000011</v>
      </c>
      <c r="R214" s="702">
        <f>AVERAGE(Q214:Q219)</f>
        <v>91.8</v>
      </c>
      <c r="S214" s="8">
        <v>0.98</v>
      </c>
      <c r="T214" s="837">
        <f>AVERAGE(S214:S215)</f>
        <v>0.98499999999999999</v>
      </c>
      <c r="U214" s="702">
        <f>AVERAGE(T214:T219)</f>
        <v>0.98833333333333329</v>
      </c>
    </row>
    <row r="215" spans="2:21" x14ac:dyDescent="0.25">
      <c r="B215" s="648"/>
      <c r="C215" s="648"/>
      <c r="D215" s="628"/>
      <c r="E215" s="745"/>
      <c r="F215" s="165">
        <v>2</v>
      </c>
      <c r="G215" s="257">
        <f>6.5*(294.74/1024)</f>
        <v>1.8709082031249999</v>
      </c>
      <c r="H215" s="836"/>
      <c r="I215" s="672"/>
      <c r="J215" s="257">
        <f>130.7*(294.74/1024)</f>
        <v>37.619646484374996</v>
      </c>
      <c r="K215" s="836"/>
      <c r="L215" s="672"/>
      <c r="M215" s="257">
        <v>0.94</v>
      </c>
      <c r="N215" s="836"/>
      <c r="O215" s="672"/>
      <c r="P215" s="162">
        <v>83.9</v>
      </c>
      <c r="Q215" s="836"/>
      <c r="R215" s="672"/>
      <c r="S215" s="162">
        <v>0.99</v>
      </c>
      <c r="T215" s="836"/>
      <c r="U215" s="672"/>
    </row>
    <row r="216" spans="2:21" x14ac:dyDescent="0.25">
      <c r="B216" s="648"/>
      <c r="C216" s="648"/>
      <c r="D216" s="628"/>
      <c r="E216" s="675">
        <v>2</v>
      </c>
      <c r="F216" s="4">
        <v>1</v>
      </c>
      <c r="G216">
        <f>6.5*(294.74/1024)</f>
        <v>1.8709082031249999</v>
      </c>
      <c r="H216" s="834">
        <f>AVERAGE(G216:G217)</f>
        <v>1.8565166015625001</v>
      </c>
      <c r="I216" s="672"/>
      <c r="J216">
        <f>110.5*(294.74/1024)</f>
        <v>31.805439453125</v>
      </c>
      <c r="K216" s="834">
        <f>AVERAGE(J216:J217)</f>
        <v>35.417731445312498</v>
      </c>
      <c r="L216" s="672"/>
      <c r="M216" s="80">
        <v>0.94</v>
      </c>
      <c r="N216" s="834">
        <f>AVERAGE(M216:M217)</f>
        <v>0.94499999999999995</v>
      </c>
      <c r="O216" s="672"/>
      <c r="P216">
        <v>97.5</v>
      </c>
      <c r="Q216" s="834">
        <f>AVERAGE(P216:P217)</f>
        <v>102.65</v>
      </c>
      <c r="R216" s="672"/>
      <c r="S216">
        <v>1</v>
      </c>
      <c r="T216" s="834">
        <f>AVERAGE(S216:S217)</f>
        <v>0.995</v>
      </c>
      <c r="U216" s="672"/>
    </row>
    <row r="217" spans="2:21" x14ac:dyDescent="0.25">
      <c r="B217" s="648"/>
      <c r="C217" s="648"/>
      <c r="D217" s="628"/>
      <c r="E217" s="745"/>
      <c r="F217" s="165">
        <v>2</v>
      </c>
      <c r="G217" s="257">
        <f>6.4*(294.74/1024)</f>
        <v>1.8421250000000002</v>
      </c>
      <c r="H217" s="836"/>
      <c r="I217" s="672"/>
      <c r="J217" s="257">
        <f>135.6*(294.74/1024)</f>
        <v>39.030023437499999</v>
      </c>
      <c r="K217" s="836"/>
      <c r="L217" s="672"/>
      <c r="M217" s="257">
        <v>0.95</v>
      </c>
      <c r="N217" s="836"/>
      <c r="O217" s="672"/>
      <c r="P217" s="162">
        <v>107.8</v>
      </c>
      <c r="Q217" s="836"/>
      <c r="R217" s="672"/>
      <c r="S217" s="162">
        <v>0.99</v>
      </c>
      <c r="T217" s="836"/>
      <c r="U217" s="672"/>
    </row>
    <row r="218" spans="2:21" x14ac:dyDescent="0.25">
      <c r="B218" s="648"/>
      <c r="C218" s="648"/>
      <c r="D218" s="628"/>
      <c r="E218" s="675">
        <v>3</v>
      </c>
      <c r="F218" s="4">
        <v>1</v>
      </c>
      <c r="G218">
        <f>6.4*(294.74/1024)</f>
        <v>1.8421250000000002</v>
      </c>
      <c r="H218" s="834">
        <f>AVERAGE(G218:G219)</f>
        <v>1.8852998046875</v>
      </c>
      <c r="I218" s="672"/>
      <c r="J218">
        <f>147.8*(294.74/1024)</f>
        <v>42.541574218750007</v>
      </c>
      <c r="K218" s="834">
        <f>AVERAGE(J218:J219)</f>
        <v>37.979436523437499</v>
      </c>
      <c r="L218" s="672"/>
      <c r="M218" s="80">
        <v>0.95</v>
      </c>
      <c r="N218" s="834">
        <f>AVERAGE(M218:M219)</f>
        <v>0.95</v>
      </c>
      <c r="O218" s="672"/>
      <c r="P218">
        <v>88.1</v>
      </c>
      <c r="Q218" s="834">
        <f>AVERAGE(P218:P219)</f>
        <v>85.949999999999989</v>
      </c>
      <c r="R218" s="672"/>
      <c r="S218">
        <v>0.99</v>
      </c>
      <c r="T218" s="834">
        <f>AVERAGE(S218:S219)</f>
        <v>0.98499999999999999</v>
      </c>
      <c r="U218" s="672"/>
    </row>
    <row r="219" spans="2:21" ht="15.75" thickBot="1" x14ac:dyDescent="0.3">
      <c r="B219" s="648"/>
      <c r="C219" s="648"/>
      <c r="D219" s="629"/>
      <c r="E219" s="683"/>
      <c r="F219" s="7">
        <v>2</v>
      </c>
      <c r="G219" s="6">
        <f>6.7*(294.74/1024)</f>
        <v>1.928474609375</v>
      </c>
      <c r="H219" s="835"/>
      <c r="I219" s="703"/>
      <c r="J219" s="6">
        <f>116.1*(294.74/1024)</f>
        <v>33.417298828124999</v>
      </c>
      <c r="K219" s="835"/>
      <c r="L219" s="703"/>
      <c r="M219" s="81">
        <v>0.95</v>
      </c>
      <c r="N219" s="835"/>
      <c r="O219" s="703"/>
      <c r="P219" s="6">
        <v>83.8</v>
      </c>
      <c r="Q219" s="835"/>
      <c r="R219" s="703"/>
      <c r="S219" s="6">
        <v>0.98</v>
      </c>
      <c r="T219" s="835"/>
      <c r="U219" s="703"/>
    </row>
    <row r="220" spans="2:21" x14ac:dyDescent="0.25">
      <c r="B220" s="648"/>
      <c r="C220" s="648"/>
      <c r="D220" s="627" t="s">
        <v>238</v>
      </c>
      <c r="E220" s="665">
        <v>1</v>
      </c>
      <c r="F220" s="8">
        <v>1</v>
      </c>
      <c r="G220" s="39">
        <f>6.4*(294.74/1024)</f>
        <v>1.8421250000000002</v>
      </c>
      <c r="H220" s="837">
        <f>AVERAGE(G220:G221)</f>
        <v>1.8709082031249999</v>
      </c>
      <c r="I220" s="701">
        <f>AVERAGE(H220:H225)</f>
        <v>1.8996914062499999</v>
      </c>
      <c r="J220" s="39">
        <f>107.4*(294.74/1024)</f>
        <v>30.913160156250001</v>
      </c>
      <c r="K220" s="837">
        <f>AVERAGE(J220:J221)</f>
        <v>26.3510224609375</v>
      </c>
      <c r="L220" s="702">
        <f>AVERAGE(K220:K225)</f>
        <v>25.588267578124999</v>
      </c>
      <c r="M220" s="375">
        <v>0.93</v>
      </c>
      <c r="N220" s="837">
        <f>AVERAGE(M220:M221)</f>
        <v>0.92500000000000004</v>
      </c>
      <c r="O220" s="702">
        <f>AVERAGE(N220:N225)</f>
        <v>0.92499999999999993</v>
      </c>
      <c r="P220" s="8">
        <v>98.5</v>
      </c>
      <c r="Q220" s="837">
        <f>AVERAGE(P220:P221)</f>
        <v>96.85</v>
      </c>
      <c r="R220" s="702">
        <f>AVERAGE(Q220:Q225)</f>
        <v>84.966666666666654</v>
      </c>
      <c r="S220" s="8">
        <v>0.99</v>
      </c>
      <c r="T220" s="837">
        <f>AVERAGE(S220:S221)</f>
        <v>0.97499999999999998</v>
      </c>
      <c r="U220" s="702">
        <f>AVERAGE(T220:T225)</f>
        <v>0.98333333333333339</v>
      </c>
    </row>
    <row r="221" spans="2:21" x14ac:dyDescent="0.25">
      <c r="B221" s="648"/>
      <c r="C221" s="648"/>
      <c r="D221" s="628"/>
      <c r="E221" s="745"/>
      <c r="F221" s="162">
        <v>2</v>
      </c>
      <c r="G221" s="151">
        <f>6.6*(294.74/1024)</f>
        <v>1.8996914062499999</v>
      </c>
      <c r="H221" s="836"/>
      <c r="I221" s="669"/>
      <c r="J221" s="151">
        <f>75.7*(294.74/1024)</f>
        <v>21.788884765625003</v>
      </c>
      <c r="K221" s="836"/>
      <c r="L221" s="672"/>
      <c r="M221" s="257">
        <v>0.92</v>
      </c>
      <c r="N221" s="836"/>
      <c r="O221" s="672"/>
      <c r="P221" s="162">
        <v>95.2</v>
      </c>
      <c r="Q221" s="836"/>
      <c r="R221" s="672"/>
      <c r="S221" s="162">
        <v>0.96</v>
      </c>
      <c r="T221" s="836"/>
      <c r="U221" s="672"/>
    </row>
    <row r="222" spans="2:21" x14ac:dyDescent="0.25">
      <c r="B222" s="648"/>
      <c r="C222" s="648"/>
      <c r="D222" s="628"/>
      <c r="E222" s="666">
        <v>2</v>
      </c>
      <c r="F222">
        <v>1</v>
      </c>
      <c r="G222" s="37">
        <f>6.6*(294.74/1024)</f>
        <v>1.8996914062499999</v>
      </c>
      <c r="H222" s="834">
        <f>AVERAGE(G222:G223)</f>
        <v>1.8996914062499999</v>
      </c>
      <c r="I222" s="669"/>
      <c r="J222" s="37">
        <f>107.8*(294.74/1024)</f>
        <v>31.028292968750002</v>
      </c>
      <c r="K222" s="834">
        <f>AVERAGE(J222:J223)</f>
        <v>28.495371093750002</v>
      </c>
      <c r="L222" s="672"/>
      <c r="M222" s="80">
        <v>0.94</v>
      </c>
      <c r="N222" s="834">
        <f>AVERAGE(M222:M223)</f>
        <v>0.92999999999999994</v>
      </c>
      <c r="O222" s="672"/>
      <c r="P222">
        <v>80.400000000000006</v>
      </c>
      <c r="Q222" s="834">
        <f>AVERAGE(P222:P223)</f>
        <v>79.25</v>
      </c>
      <c r="R222" s="672"/>
      <c r="S222">
        <v>1</v>
      </c>
      <c r="T222" s="834">
        <f>AVERAGE(S222:S223)</f>
        <v>0.995</v>
      </c>
      <c r="U222" s="672"/>
    </row>
    <row r="223" spans="2:21" x14ac:dyDescent="0.25">
      <c r="B223" s="648"/>
      <c r="C223" s="648"/>
      <c r="D223" s="628"/>
      <c r="E223" s="745"/>
      <c r="F223" s="162">
        <v>2</v>
      </c>
      <c r="G223" s="151">
        <f>6.6*(294.74/1024)</f>
        <v>1.8996914062499999</v>
      </c>
      <c r="H223" s="836"/>
      <c r="I223" s="669"/>
      <c r="J223" s="151">
        <f>90.2*(294.74/1024)</f>
        <v>25.962449218750002</v>
      </c>
      <c r="K223" s="836"/>
      <c r="L223" s="672"/>
      <c r="M223" s="257">
        <v>0.92</v>
      </c>
      <c r="N223" s="836"/>
      <c r="O223" s="672"/>
      <c r="P223" s="162">
        <v>78.099999999999994</v>
      </c>
      <c r="Q223" s="836"/>
      <c r="R223" s="672"/>
      <c r="S223" s="162">
        <v>0.99</v>
      </c>
      <c r="T223" s="836"/>
      <c r="U223" s="672"/>
    </row>
    <row r="224" spans="2:21" x14ac:dyDescent="0.25">
      <c r="B224" s="648"/>
      <c r="C224" s="648"/>
      <c r="D224" s="628"/>
      <c r="E224" s="675">
        <v>3</v>
      </c>
      <c r="F224">
        <v>1</v>
      </c>
      <c r="G224" s="37">
        <f>6.8*(294.74/1024)</f>
        <v>1.9572578125</v>
      </c>
      <c r="H224" s="834">
        <f>AVERAGE(G224:G225)</f>
        <v>1.9284746093749998</v>
      </c>
      <c r="I224" s="669"/>
      <c r="J224" s="37">
        <f>71.2*(294.74/1024)</f>
        <v>20.493640625000001</v>
      </c>
      <c r="K224" s="834">
        <f>AVERAGE(J224:J225)</f>
        <v>21.918409179687501</v>
      </c>
      <c r="L224" s="672"/>
      <c r="M224" s="80">
        <v>0.92</v>
      </c>
      <c r="N224" s="834">
        <f>AVERAGE(M224:M225)</f>
        <v>0.92</v>
      </c>
      <c r="O224" s="672"/>
      <c r="P224">
        <v>68.599999999999994</v>
      </c>
      <c r="Q224" s="834">
        <f>AVERAGE(P224:P225)</f>
        <v>78.8</v>
      </c>
      <c r="R224" s="672"/>
      <c r="S224">
        <v>0.98</v>
      </c>
      <c r="T224" s="834">
        <f>AVERAGE(S224:S225)</f>
        <v>0.98</v>
      </c>
      <c r="U224" s="672"/>
    </row>
    <row r="225" spans="2:21" ht="15.75" thickBot="1" x14ac:dyDescent="0.3">
      <c r="B225" s="656"/>
      <c r="C225" s="656"/>
      <c r="D225" s="629"/>
      <c r="E225" s="683"/>
      <c r="F225" s="6">
        <v>2</v>
      </c>
      <c r="G225" s="33">
        <f>6.6*(294.74/1024)</f>
        <v>1.8996914062499999</v>
      </c>
      <c r="H225" s="835"/>
      <c r="I225" s="684"/>
      <c r="J225" s="33">
        <f>81.1*(294.74/1024)</f>
        <v>23.343177734375001</v>
      </c>
      <c r="K225" s="835"/>
      <c r="L225" s="703"/>
      <c r="M225" s="81">
        <v>0.92</v>
      </c>
      <c r="N225" s="835"/>
      <c r="O225" s="703"/>
      <c r="P225" s="6">
        <v>89</v>
      </c>
      <c r="Q225" s="835"/>
      <c r="R225" s="703"/>
      <c r="S225" s="6">
        <v>0.98</v>
      </c>
      <c r="T225" s="835"/>
      <c r="U225" s="703"/>
    </row>
  </sheetData>
  <mergeCells count="568">
    <mergeCell ref="T220:T221"/>
    <mergeCell ref="U220:U225"/>
    <mergeCell ref="T222:T223"/>
    <mergeCell ref="T224:T225"/>
    <mergeCell ref="T184:T185"/>
    <mergeCell ref="U184:U189"/>
    <mergeCell ref="T186:T187"/>
    <mergeCell ref="T188:T189"/>
    <mergeCell ref="T190:T192"/>
    <mergeCell ref="U190:U198"/>
    <mergeCell ref="T193:T195"/>
    <mergeCell ref="T196:T198"/>
    <mergeCell ref="T199:T203"/>
    <mergeCell ref="U199:U213"/>
    <mergeCell ref="T204:T208"/>
    <mergeCell ref="T209:T213"/>
    <mergeCell ref="T162:T164"/>
    <mergeCell ref="U162:U168"/>
    <mergeCell ref="T165:T166"/>
    <mergeCell ref="T167:T168"/>
    <mergeCell ref="T169:T173"/>
    <mergeCell ref="U169:U183"/>
    <mergeCell ref="T174:T178"/>
    <mergeCell ref="T179:T183"/>
    <mergeCell ref="T214:T215"/>
    <mergeCell ref="U214:U219"/>
    <mergeCell ref="T216:T217"/>
    <mergeCell ref="T218:T219"/>
    <mergeCell ref="T138:T139"/>
    <mergeCell ref="U138:U143"/>
    <mergeCell ref="T140:T141"/>
    <mergeCell ref="T142:T143"/>
    <mergeCell ref="T144:T149"/>
    <mergeCell ref="U144:U159"/>
    <mergeCell ref="T150:T154"/>
    <mergeCell ref="T155:T159"/>
    <mergeCell ref="T160:T161"/>
    <mergeCell ref="U160:U161"/>
    <mergeCell ref="T100:T104"/>
    <mergeCell ref="U100:U114"/>
    <mergeCell ref="T105:T109"/>
    <mergeCell ref="T110:T114"/>
    <mergeCell ref="T115:T117"/>
    <mergeCell ref="U115:U123"/>
    <mergeCell ref="T118:T120"/>
    <mergeCell ref="T121:T123"/>
    <mergeCell ref="T124:T127"/>
    <mergeCell ref="U124:U137"/>
    <mergeCell ref="T128:T132"/>
    <mergeCell ref="T133:T137"/>
    <mergeCell ref="T65:T69"/>
    <mergeCell ref="U65:U78"/>
    <mergeCell ref="T70:T73"/>
    <mergeCell ref="T74:T78"/>
    <mergeCell ref="T79:T81"/>
    <mergeCell ref="U79:U92"/>
    <mergeCell ref="T82:T87"/>
    <mergeCell ref="T88:T92"/>
    <mergeCell ref="T93:T94"/>
    <mergeCell ref="U93:U99"/>
    <mergeCell ref="T95:T96"/>
    <mergeCell ref="T97:T99"/>
    <mergeCell ref="T39:T40"/>
    <mergeCell ref="U39:U44"/>
    <mergeCell ref="T41:T42"/>
    <mergeCell ref="T43:T44"/>
    <mergeCell ref="T45:T48"/>
    <mergeCell ref="U45:U55"/>
    <mergeCell ref="T49:T52"/>
    <mergeCell ref="T53:T55"/>
    <mergeCell ref="T56:T58"/>
    <mergeCell ref="U56:U64"/>
    <mergeCell ref="T59:T61"/>
    <mergeCell ref="T62:T64"/>
    <mergeCell ref="S1:U1"/>
    <mergeCell ref="T3:T6"/>
    <mergeCell ref="U3:U15"/>
    <mergeCell ref="T7:T11"/>
    <mergeCell ref="T12:T15"/>
    <mergeCell ref="T16:T18"/>
    <mergeCell ref="U16:U19"/>
    <mergeCell ref="T33:T34"/>
    <mergeCell ref="U33:U38"/>
    <mergeCell ref="T35:T36"/>
    <mergeCell ref="T37:T38"/>
    <mergeCell ref="U20:U32"/>
    <mergeCell ref="T30:T32"/>
    <mergeCell ref="T25:T29"/>
    <mergeCell ref="T20:T24"/>
    <mergeCell ref="L190:L198"/>
    <mergeCell ref="K193:K195"/>
    <mergeCell ref="K196:K198"/>
    <mergeCell ref="N190:N192"/>
    <mergeCell ref="O190:O198"/>
    <mergeCell ref="N193:N195"/>
    <mergeCell ref="N196:N198"/>
    <mergeCell ref="Q190:Q192"/>
    <mergeCell ref="R190:R198"/>
    <mergeCell ref="Q193:Q195"/>
    <mergeCell ref="Q196:Q198"/>
    <mergeCell ref="X33:X36"/>
    <mergeCell ref="X37:X40"/>
    <mergeCell ref="X41:X44"/>
    <mergeCell ref="B144:B168"/>
    <mergeCell ref="C144:C168"/>
    <mergeCell ref="D162:D168"/>
    <mergeCell ref="E167:E168"/>
    <mergeCell ref="E165:E166"/>
    <mergeCell ref="E162:E164"/>
    <mergeCell ref="H167:H168"/>
    <mergeCell ref="H165:H166"/>
    <mergeCell ref="H162:H164"/>
    <mergeCell ref="I162:I168"/>
    <mergeCell ref="K162:K164"/>
    <mergeCell ref="L162:L168"/>
    <mergeCell ref="K165:K166"/>
    <mergeCell ref="K167:K168"/>
    <mergeCell ref="N162:N164"/>
    <mergeCell ref="O162:O168"/>
    <mergeCell ref="N165:N166"/>
    <mergeCell ref="N167:N168"/>
    <mergeCell ref="Q162:Q164"/>
    <mergeCell ref="R162:R168"/>
    <mergeCell ref="Q165:Q166"/>
    <mergeCell ref="W28:W29"/>
    <mergeCell ref="W25:W27"/>
    <mergeCell ref="W17:W18"/>
    <mergeCell ref="W13:W16"/>
    <mergeCell ref="W10:W12"/>
    <mergeCell ref="W7:W9"/>
    <mergeCell ref="W32:W44"/>
    <mergeCell ref="W19:W21"/>
    <mergeCell ref="W22:W24"/>
    <mergeCell ref="I220:I225"/>
    <mergeCell ref="K220:K221"/>
    <mergeCell ref="L220:L225"/>
    <mergeCell ref="N220:N221"/>
    <mergeCell ref="O220:O225"/>
    <mergeCell ref="Q220:Q221"/>
    <mergeCell ref="R220:R225"/>
    <mergeCell ref="E222:E223"/>
    <mergeCell ref="H222:H223"/>
    <mergeCell ref="K222:K223"/>
    <mergeCell ref="N222:N223"/>
    <mergeCell ref="Q222:Q223"/>
    <mergeCell ref="E224:E225"/>
    <mergeCell ref="H224:H225"/>
    <mergeCell ref="K224:K225"/>
    <mergeCell ref="N224:N225"/>
    <mergeCell ref="Q224:Q225"/>
    <mergeCell ref="D220:D225"/>
    <mergeCell ref="E220:E221"/>
    <mergeCell ref="H220:H221"/>
    <mergeCell ref="C199:C225"/>
    <mergeCell ref="B199:B225"/>
    <mergeCell ref="B169:B198"/>
    <mergeCell ref="C169:C198"/>
    <mergeCell ref="D190:D198"/>
    <mergeCell ref="E190:E192"/>
    <mergeCell ref="E196:E198"/>
    <mergeCell ref="E193:E195"/>
    <mergeCell ref="H196:H198"/>
    <mergeCell ref="H193:H195"/>
    <mergeCell ref="H190:H192"/>
    <mergeCell ref="D199:D213"/>
    <mergeCell ref="D169:D183"/>
    <mergeCell ref="E169:E173"/>
    <mergeCell ref="E174:E178"/>
    <mergeCell ref="E179:E183"/>
    <mergeCell ref="E209:E213"/>
    <mergeCell ref="E204:E208"/>
    <mergeCell ref="E199:E203"/>
    <mergeCell ref="H209:H213"/>
    <mergeCell ref="H169:H173"/>
    <mergeCell ref="R160:R161"/>
    <mergeCell ref="D214:D219"/>
    <mergeCell ref="H214:H215"/>
    <mergeCell ref="H216:H217"/>
    <mergeCell ref="H218:H219"/>
    <mergeCell ref="I214:I219"/>
    <mergeCell ref="E218:E219"/>
    <mergeCell ref="E216:E217"/>
    <mergeCell ref="E214:E215"/>
    <mergeCell ref="K214:K215"/>
    <mergeCell ref="L214:L219"/>
    <mergeCell ref="K216:K217"/>
    <mergeCell ref="K218:K219"/>
    <mergeCell ref="N214:N215"/>
    <mergeCell ref="O214:O219"/>
    <mergeCell ref="N216:N217"/>
    <mergeCell ref="N218:N219"/>
    <mergeCell ref="Q214:Q215"/>
    <mergeCell ref="R214:R219"/>
    <mergeCell ref="Q216:Q217"/>
    <mergeCell ref="Q218:Q219"/>
    <mergeCell ref="Q167:Q168"/>
    <mergeCell ref="I190:I198"/>
    <mergeCell ref="K190:K192"/>
    <mergeCell ref="Q188:Q189"/>
    <mergeCell ref="E188:E189"/>
    <mergeCell ref="E186:E187"/>
    <mergeCell ref="E184:E185"/>
    <mergeCell ref="D184:D189"/>
    <mergeCell ref="E142:E143"/>
    <mergeCell ref="E140:E141"/>
    <mergeCell ref="E138:E139"/>
    <mergeCell ref="E160:E161"/>
    <mergeCell ref="D160:D161"/>
    <mergeCell ref="H160:H161"/>
    <mergeCell ref="I160:I161"/>
    <mergeCell ref="K160:K161"/>
    <mergeCell ref="L160:L161"/>
    <mergeCell ref="N160:N161"/>
    <mergeCell ref="O160:O161"/>
    <mergeCell ref="Q160:Q161"/>
    <mergeCell ref="H184:H185"/>
    <mergeCell ref="I184:I189"/>
    <mergeCell ref="H186:H187"/>
    <mergeCell ref="H188:H189"/>
    <mergeCell ref="K184:K185"/>
    <mergeCell ref="L184:L189"/>
    <mergeCell ref="K186:K187"/>
    <mergeCell ref="K188:K189"/>
    <mergeCell ref="N184:N185"/>
    <mergeCell ref="N186:N187"/>
    <mergeCell ref="N188:N189"/>
    <mergeCell ref="D138:D143"/>
    <mergeCell ref="C3:C19"/>
    <mergeCell ref="B3:B19"/>
    <mergeCell ref="H138:H139"/>
    <mergeCell ref="H140:H141"/>
    <mergeCell ref="H142:H143"/>
    <mergeCell ref="I138:I143"/>
    <mergeCell ref="K138:K139"/>
    <mergeCell ref="L138:L143"/>
    <mergeCell ref="K140:K141"/>
    <mergeCell ref="K142:K143"/>
    <mergeCell ref="C45:C64"/>
    <mergeCell ref="B45:B64"/>
    <mergeCell ref="C100:C123"/>
    <mergeCell ref="B100:B123"/>
    <mergeCell ref="C124:C143"/>
    <mergeCell ref="B124:B143"/>
    <mergeCell ref="K93:K94"/>
    <mergeCell ref="L93:L99"/>
    <mergeCell ref="K95:K96"/>
    <mergeCell ref="Q115:Q117"/>
    <mergeCell ref="R115:R123"/>
    <mergeCell ref="Q118:Q120"/>
    <mergeCell ref="Q121:Q123"/>
    <mergeCell ref="C65:C99"/>
    <mergeCell ref="B65:B99"/>
    <mergeCell ref="H115:H117"/>
    <mergeCell ref="H118:H120"/>
    <mergeCell ref="H121:H123"/>
    <mergeCell ref="I115:I123"/>
    <mergeCell ref="K115:K117"/>
    <mergeCell ref="L115:L123"/>
    <mergeCell ref="K118:K120"/>
    <mergeCell ref="K121:K123"/>
    <mergeCell ref="N115:N117"/>
    <mergeCell ref="H93:H94"/>
    <mergeCell ref="H95:H96"/>
    <mergeCell ref="H97:H99"/>
    <mergeCell ref="I93:I99"/>
    <mergeCell ref="H105:H109"/>
    <mergeCell ref="H100:H104"/>
    <mergeCell ref="E97:E99"/>
    <mergeCell ref="E95:E96"/>
    <mergeCell ref="K70:K73"/>
    <mergeCell ref="N33:N34"/>
    <mergeCell ref="N35:N36"/>
    <mergeCell ref="Q33:Q34"/>
    <mergeCell ref="R33:R38"/>
    <mergeCell ref="Q35:Q36"/>
    <mergeCell ref="Q37:Q38"/>
    <mergeCell ref="Q39:Q40"/>
    <mergeCell ref="R39:R44"/>
    <mergeCell ref="Q41:Q42"/>
    <mergeCell ref="Q43:Q44"/>
    <mergeCell ref="O33:O38"/>
    <mergeCell ref="H16:H18"/>
    <mergeCell ref="I16:I19"/>
    <mergeCell ref="K16:K18"/>
    <mergeCell ref="L16:L19"/>
    <mergeCell ref="N16:N18"/>
    <mergeCell ref="O16:O19"/>
    <mergeCell ref="Q16:Q18"/>
    <mergeCell ref="N39:N40"/>
    <mergeCell ref="O39:O44"/>
    <mergeCell ref="N41:N42"/>
    <mergeCell ref="N43:N44"/>
    <mergeCell ref="H33:H34"/>
    <mergeCell ref="H35:H36"/>
    <mergeCell ref="H37:H38"/>
    <mergeCell ref="H39:H40"/>
    <mergeCell ref="H41:H42"/>
    <mergeCell ref="H43:H44"/>
    <mergeCell ref="I39:I44"/>
    <mergeCell ref="I33:I38"/>
    <mergeCell ref="K33:K34"/>
    <mergeCell ref="L33:L38"/>
    <mergeCell ref="K35:K36"/>
    <mergeCell ref="K37:K38"/>
    <mergeCell ref="K39:K40"/>
    <mergeCell ref="R199:R213"/>
    <mergeCell ref="Q204:Q208"/>
    <mergeCell ref="Q209:Q213"/>
    <mergeCell ref="O184:O189"/>
    <mergeCell ref="Q184:Q185"/>
    <mergeCell ref="R184:R189"/>
    <mergeCell ref="Q186:Q187"/>
    <mergeCell ref="E59:E61"/>
    <mergeCell ref="E56:E58"/>
    <mergeCell ref="H62:H64"/>
    <mergeCell ref="H59:H61"/>
    <mergeCell ref="H56:H58"/>
    <mergeCell ref="I56:I64"/>
    <mergeCell ref="K56:K58"/>
    <mergeCell ref="L56:L64"/>
    <mergeCell ref="K59:K61"/>
    <mergeCell ref="K62:K64"/>
    <mergeCell ref="N56:N58"/>
    <mergeCell ref="N59:N61"/>
    <mergeCell ref="N62:N64"/>
    <mergeCell ref="K97:K99"/>
    <mergeCell ref="O115:O123"/>
    <mergeCell ref="N118:N120"/>
    <mergeCell ref="N121:N123"/>
    <mergeCell ref="K199:K203"/>
    <mergeCell ref="L199:L213"/>
    <mergeCell ref="K204:K208"/>
    <mergeCell ref="K209:K213"/>
    <mergeCell ref="N199:N203"/>
    <mergeCell ref="O199:O213"/>
    <mergeCell ref="N204:N208"/>
    <mergeCell ref="N209:N213"/>
    <mergeCell ref="Q199:Q203"/>
    <mergeCell ref="K174:K178"/>
    <mergeCell ref="K179:K183"/>
    <mergeCell ref="N169:N173"/>
    <mergeCell ref="O169:O183"/>
    <mergeCell ref="N174:N178"/>
    <mergeCell ref="N179:N183"/>
    <mergeCell ref="Q169:Q173"/>
    <mergeCell ref="R169:R183"/>
    <mergeCell ref="Q174:Q178"/>
    <mergeCell ref="Q179:Q183"/>
    <mergeCell ref="I199:I213"/>
    <mergeCell ref="I169:I183"/>
    <mergeCell ref="K79:K81"/>
    <mergeCell ref="K82:K87"/>
    <mergeCell ref="K88:K92"/>
    <mergeCell ref="Q79:Q81"/>
    <mergeCell ref="Q82:Q87"/>
    <mergeCell ref="Q88:Q92"/>
    <mergeCell ref="N79:N81"/>
    <mergeCell ref="N82:N87"/>
    <mergeCell ref="N88:N92"/>
    <mergeCell ref="K144:K149"/>
    <mergeCell ref="K150:K154"/>
    <mergeCell ref="K155:K159"/>
    <mergeCell ref="N144:N149"/>
    <mergeCell ref="N150:N154"/>
    <mergeCell ref="N155:N159"/>
    <mergeCell ref="Q144:Q149"/>
    <mergeCell ref="Q150:Q154"/>
    <mergeCell ref="Q155:Q159"/>
    <mergeCell ref="K169:K173"/>
    <mergeCell ref="L169:L183"/>
    <mergeCell ref="L79:L92"/>
    <mergeCell ref="L144:L159"/>
    <mergeCell ref="H174:H178"/>
    <mergeCell ref="H179:H183"/>
    <mergeCell ref="H199:H203"/>
    <mergeCell ref="H204:H208"/>
    <mergeCell ref="H133:H137"/>
    <mergeCell ref="H128:H132"/>
    <mergeCell ref="H124:H127"/>
    <mergeCell ref="H110:H114"/>
    <mergeCell ref="D115:D123"/>
    <mergeCell ref="E155:E159"/>
    <mergeCell ref="E150:E154"/>
    <mergeCell ref="E144:E149"/>
    <mergeCell ref="D144:D159"/>
    <mergeCell ref="I144:I159"/>
    <mergeCell ref="D79:D92"/>
    <mergeCell ref="E88:E92"/>
    <mergeCell ref="E82:E87"/>
    <mergeCell ref="E79:E81"/>
    <mergeCell ref="I79:I92"/>
    <mergeCell ref="E110:E114"/>
    <mergeCell ref="E105:E109"/>
    <mergeCell ref="E100:E104"/>
    <mergeCell ref="D100:D114"/>
    <mergeCell ref="H82:H87"/>
    <mergeCell ref="H88:H92"/>
    <mergeCell ref="H144:H149"/>
    <mergeCell ref="H150:H154"/>
    <mergeCell ref="H155:H159"/>
    <mergeCell ref="H79:H81"/>
    <mergeCell ref="K74:K78"/>
    <mergeCell ref="E93:E94"/>
    <mergeCell ref="D93:D99"/>
    <mergeCell ref="E62:E64"/>
    <mergeCell ref="J1:L1"/>
    <mergeCell ref="G1:I1"/>
    <mergeCell ref="H45:H48"/>
    <mergeCell ref="H74:H78"/>
    <mergeCell ref="H70:H73"/>
    <mergeCell ref="H65:H69"/>
    <mergeCell ref="H53:H55"/>
    <mergeCell ref="H49:H52"/>
    <mergeCell ref="I3:I15"/>
    <mergeCell ref="H12:H15"/>
    <mergeCell ref="H7:H11"/>
    <mergeCell ref="H3:H6"/>
    <mergeCell ref="K3:K6"/>
    <mergeCell ref="L3:L15"/>
    <mergeCell ref="K7:K11"/>
    <mergeCell ref="D56:D64"/>
    <mergeCell ref="E43:E44"/>
    <mergeCell ref="E41:E42"/>
    <mergeCell ref="E16:E18"/>
    <mergeCell ref="D16:D19"/>
    <mergeCell ref="B1:B2"/>
    <mergeCell ref="C1:C2"/>
    <mergeCell ref="D1:D2"/>
    <mergeCell ref="E1:E2"/>
    <mergeCell ref="F1:F2"/>
    <mergeCell ref="E133:E137"/>
    <mergeCell ref="E128:E132"/>
    <mergeCell ref="E124:E127"/>
    <mergeCell ref="D124:D137"/>
    <mergeCell ref="D45:D55"/>
    <mergeCell ref="E53:E55"/>
    <mergeCell ref="E49:E52"/>
    <mergeCell ref="E45:E48"/>
    <mergeCell ref="E74:E78"/>
    <mergeCell ref="E70:E73"/>
    <mergeCell ref="E65:E69"/>
    <mergeCell ref="D65:D78"/>
    <mergeCell ref="D3:D15"/>
    <mergeCell ref="E12:E15"/>
    <mergeCell ref="E7:E11"/>
    <mergeCell ref="E3:E6"/>
    <mergeCell ref="E121:E123"/>
    <mergeCell ref="E118:E120"/>
    <mergeCell ref="E115:E117"/>
    <mergeCell ref="R16:R19"/>
    <mergeCell ref="N30:N32"/>
    <mergeCell ref="N25:N29"/>
    <mergeCell ref="N20:N24"/>
    <mergeCell ref="K12:K15"/>
    <mergeCell ref="I124:I137"/>
    <mergeCell ref="I100:I114"/>
    <mergeCell ref="I65:I78"/>
    <mergeCell ref="I45:I55"/>
    <mergeCell ref="K100:K104"/>
    <mergeCell ref="L100:L114"/>
    <mergeCell ref="K105:K109"/>
    <mergeCell ref="K110:K114"/>
    <mergeCell ref="K124:K127"/>
    <mergeCell ref="L124:L137"/>
    <mergeCell ref="K128:K132"/>
    <mergeCell ref="K133:K137"/>
    <mergeCell ref="K45:K48"/>
    <mergeCell ref="L45:L55"/>
    <mergeCell ref="K49:K52"/>
    <mergeCell ref="K53:K55"/>
    <mergeCell ref="K65:K69"/>
    <mergeCell ref="L65:L78"/>
    <mergeCell ref="N37:N38"/>
    <mergeCell ref="M1:O1"/>
    <mergeCell ref="P1:R1"/>
    <mergeCell ref="N3:N6"/>
    <mergeCell ref="O3:O15"/>
    <mergeCell ref="Q3:Q6"/>
    <mergeCell ref="R3:R15"/>
    <mergeCell ref="N7:N11"/>
    <mergeCell ref="Q7:Q11"/>
    <mergeCell ref="N12:N15"/>
    <mergeCell ref="Q12:Q15"/>
    <mergeCell ref="N65:N69"/>
    <mergeCell ref="O65:O78"/>
    <mergeCell ref="Q65:Q69"/>
    <mergeCell ref="R65:R78"/>
    <mergeCell ref="N70:N73"/>
    <mergeCell ref="Q70:Q73"/>
    <mergeCell ref="N74:N78"/>
    <mergeCell ref="Q74:Q78"/>
    <mergeCell ref="N45:N48"/>
    <mergeCell ref="O45:O55"/>
    <mergeCell ref="Q45:Q48"/>
    <mergeCell ref="R45:R55"/>
    <mergeCell ref="N49:N52"/>
    <mergeCell ref="Q49:Q52"/>
    <mergeCell ref="N53:N55"/>
    <mergeCell ref="Q53:Q55"/>
    <mergeCell ref="O56:O64"/>
    <mergeCell ref="Q56:Q58"/>
    <mergeCell ref="R56:R64"/>
    <mergeCell ref="Q59:Q61"/>
    <mergeCell ref="Q62:Q64"/>
    <mergeCell ref="O79:O92"/>
    <mergeCell ref="R79:R92"/>
    <mergeCell ref="N100:N104"/>
    <mergeCell ref="O100:O114"/>
    <mergeCell ref="Q100:Q104"/>
    <mergeCell ref="R100:R114"/>
    <mergeCell ref="N105:N109"/>
    <mergeCell ref="Q105:Q109"/>
    <mergeCell ref="N110:N114"/>
    <mergeCell ref="Q110:Q114"/>
    <mergeCell ref="N93:N94"/>
    <mergeCell ref="O93:O99"/>
    <mergeCell ref="N95:N96"/>
    <mergeCell ref="N97:N99"/>
    <mergeCell ref="Q93:Q94"/>
    <mergeCell ref="R93:R99"/>
    <mergeCell ref="Q95:Q96"/>
    <mergeCell ref="Q97:Q99"/>
    <mergeCell ref="O144:O159"/>
    <mergeCell ref="R144:R159"/>
    <mergeCell ref="N124:N127"/>
    <mergeCell ref="O124:O137"/>
    <mergeCell ref="Q124:Q127"/>
    <mergeCell ref="R124:R137"/>
    <mergeCell ref="N128:N132"/>
    <mergeCell ref="Q128:Q132"/>
    <mergeCell ref="N133:N137"/>
    <mergeCell ref="Q133:Q137"/>
    <mergeCell ref="N138:N139"/>
    <mergeCell ref="O138:O143"/>
    <mergeCell ref="N140:N141"/>
    <mergeCell ref="N142:N143"/>
    <mergeCell ref="Q138:Q139"/>
    <mergeCell ref="R138:R143"/>
    <mergeCell ref="Q140:Q141"/>
    <mergeCell ref="Q142:Q143"/>
    <mergeCell ref="R20:R32"/>
    <mergeCell ref="Q30:Q32"/>
    <mergeCell ref="Q25:Q29"/>
    <mergeCell ref="Q20:Q24"/>
    <mergeCell ref="O20:O32"/>
    <mergeCell ref="E30:E32"/>
    <mergeCell ref="E25:E29"/>
    <mergeCell ref="E20:E24"/>
    <mergeCell ref="D20:D32"/>
    <mergeCell ref="C20:C44"/>
    <mergeCell ref="B20:B44"/>
    <mergeCell ref="L20:L32"/>
    <mergeCell ref="K30:K32"/>
    <mergeCell ref="K25:K29"/>
    <mergeCell ref="K20:K24"/>
    <mergeCell ref="I20:I32"/>
    <mergeCell ref="H30:H32"/>
    <mergeCell ref="H25:H29"/>
    <mergeCell ref="H20:H24"/>
    <mergeCell ref="E39:E40"/>
    <mergeCell ref="E37:E38"/>
    <mergeCell ref="E35:E36"/>
    <mergeCell ref="E33:E34"/>
    <mergeCell ref="D39:D44"/>
    <mergeCell ref="D33:D38"/>
    <mergeCell ref="L39:L44"/>
    <mergeCell ref="K41:K42"/>
    <mergeCell ref="K43:K44"/>
  </mergeCells>
  <conditionalFormatting sqref="Z33:AD44">
    <cfRule type="cellIs" dxfId="36" priority="1" stopIfTrue="1" operator="lessThan">
      <formula>0.025</formula>
    </cfRule>
    <cfRule type="cellIs" dxfId="35" priority="2" operator="lessThan">
      <formula>0.05</formula>
    </cfRule>
  </conditionalFormatting>
  <hyperlinks>
    <hyperlink ref="A1" location="'Table of Contents'!A1" display="Table of Contents" xr:uid="{E1D2AE68-9D70-4AC0-B211-2E171FC44BB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4786-02FA-4D4F-A0C0-9CDE13121244}">
  <sheetPr codeName="Sheet2"/>
  <dimension ref="A1:V10"/>
  <sheetViews>
    <sheetView workbookViewId="0"/>
  </sheetViews>
  <sheetFormatPr defaultRowHeight="15" x14ac:dyDescent="0.25"/>
  <cols>
    <col min="1" max="1" width="16.85546875" customWidth="1"/>
    <col min="2" max="2" width="15.85546875" customWidth="1"/>
    <col min="3" max="3" width="11.140625" customWidth="1"/>
    <col min="6" max="6" width="14.28515625" customWidth="1"/>
    <col min="7" max="7" width="16.85546875" customWidth="1"/>
    <col min="8" max="8" width="11" bestFit="1" customWidth="1"/>
    <col min="9" max="9" width="13.7109375" customWidth="1"/>
    <col min="10" max="10" width="14" customWidth="1"/>
    <col min="11" max="11" width="11.5703125" bestFit="1" customWidth="1"/>
    <col min="12" max="12" width="12.5703125" bestFit="1" customWidth="1"/>
    <col min="13" max="13" width="12.140625" bestFit="1" customWidth="1"/>
  </cols>
  <sheetData>
    <row r="1" spans="1:22" x14ac:dyDescent="0.25">
      <c r="A1" s="1" t="s">
        <v>9</v>
      </c>
      <c r="B1" s="627" t="s">
        <v>60</v>
      </c>
      <c r="C1" s="635" t="s">
        <v>10</v>
      </c>
      <c r="D1" s="638" t="s">
        <v>4</v>
      </c>
      <c r="E1" s="630" t="s">
        <v>129</v>
      </c>
      <c r="F1" s="632" t="s">
        <v>84</v>
      </c>
      <c r="G1" s="633"/>
      <c r="H1" s="632" t="s">
        <v>85</v>
      </c>
      <c r="I1" s="634"/>
      <c r="J1" s="633"/>
      <c r="K1" s="632" t="s">
        <v>193</v>
      </c>
      <c r="L1" s="634"/>
      <c r="M1" s="633"/>
      <c r="N1" s="632" t="s">
        <v>179</v>
      </c>
      <c r="O1" s="634"/>
      <c r="P1" s="633"/>
      <c r="Q1" s="634" t="s">
        <v>180</v>
      </c>
      <c r="R1" s="634"/>
      <c r="S1" s="633"/>
      <c r="T1" s="634" t="s">
        <v>181</v>
      </c>
      <c r="U1" s="634"/>
      <c r="V1" s="637"/>
    </row>
    <row r="2" spans="1:22" ht="15.75" thickBot="1" x14ac:dyDescent="0.3">
      <c r="B2" s="629"/>
      <c r="C2" s="636"/>
      <c r="D2" s="639"/>
      <c r="E2" s="631"/>
      <c r="F2" s="269" t="s">
        <v>57</v>
      </c>
      <c r="G2" s="270" t="s">
        <v>146</v>
      </c>
      <c r="H2" s="269" t="s">
        <v>57</v>
      </c>
      <c r="I2" s="33" t="s">
        <v>173</v>
      </c>
      <c r="J2" s="270" t="s">
        <v>174</v>
      </c>
      <c r="K2" s="269" t="s">
        <v>175</v>
      </c>
      <c r="L2" s="33" t="s">
        <v>173</v>
      </c>
      <c r="M2" s="270" t="s">
        <v>176</v>
      </c>
      <c r="N2" s="33" t="s">
        <v>57</v>
      </c>
      <c r="O2" s="209" t="s">
        <v>173</v>
      </c>
      <c r="P2" s="206" t="s">
        <v>174</v>
      </c>
      <c r="Q2" s="33" t="s">
        <v>57</v>
      </c>
      <c r="R2" s="209" t="s">
        <v>173</v>
      </c>
      <c r="S2" s="206" t="s">
        <v>174</v>
      </c>
      <c r="T2" s="33" t="s">
        <v>57</v>
      </c>
      <c r="U2" s="209" t="s">
        <v>173</v>
      </c>
      <c r="V2" s="290" t="s">
        <v>174</v>
      </c>
    </row>
    <row r="3" spans="1:22" x14ac:dyDescent="0.25">
      <c r="A3" s="55">
        <v>0</v>
      </c>
      <c r="B3" s="627" t="s">
        <v>7</v>
      </c>
      <c r="C3" s="207" t="s">
        <v>26</v>
      </c>
      <c r="D3" s="241">
        <f>Viability!I11</f>
        <v>39.009623383749997</v>
      </c>
      <c r="E3" s="241">
        <f>'Alamar Blue - Analysis'!F13</f>
        <v>1.2432735914878772</v>
      </c>
      <c r="F3" s="212">
        <f>Picogreen!G46</f>
        <v>75.381950833333335</v>
      </c>
      <c r="G3" s="246">
        <f>AVERAGE('Biochem Summary'!J3:J8)</f>
        <v>176.5955525756217</v>
      </c>
      <c r="H3" s="208">
        <f>AVERAGE('Biochem Summary'!K3:K8)</f>
        <v>264.70499999999998</v>
      </c>
      <c r="I3" s="208">
        <f>AVERAGE('Biochem Summary'!L3:L8)</f>
        <v>3750.4745414388663</v>
      </c>
      <c r="J3" s="246">
        <f>AVERAGE('Biochem Summary'!M3:M8)</f>
        <v>638.03731567501575</v>
      </c>
      <c r="K3" s="208">
        <f>AVERAGE('Biochem Summary'!N3:N8)</f>
        <v>81.516748732104631</v>
      </c>
      <c r="L3" s="208">
        <f>AVERAGE('Biochem Summary'!O3:O8)</f>
        <v>1138.0983155875172</v>
      </c>
      <c r="M3" s="246">
        <f>AVERAGE('Biochem Summary'!P3:P8)</f>
        <v>194.43644715916793</v>
      </c>
      <c r="N3" s="307"/>
      <c r="O3" s="307"/>
      <c r="P3" s="308"/>
      <c r="Q3" s="307"/>
      <c r="R3" s="307"/>
      <c r="S3" s="308"/>
      <c r="T3" s="307"/>
      <c r="U3" s="307"/>
      <c r="V3" s="309"/>
    </row>
    <row r="4" spans="1:22" x14ac:dyDescent="0.25">
      <c r="A4" s="55">
        <v>1</v>
      </c>
      <c r="B4" s="628"/>
      <c r="C4" s="51" t="s">
        <v>11</v>
      </c>
      <c r="D4" s="242">
        <f>Viability!I20</f>
        <v>29.2697262475</v>
      </c>
      <c r="E4" s="242">
        <f>'Alamar Blue - Analysis'!F21</f>
        <v>1.228395061728395</v>
      </c>
      <c r="F4" s="76">
        <f>AVERAGE('Biochem Summary'!I11:I16,'Biochem Summary'!I17:I21)</f>
        <v>92.115376623376619</v>
      </c>
      <c r="G4" s="247">
        <f>AVERAGE('Biochem Summary'!J11:J16,'Biochem Summary'!J17:J21)</f>
        <v>171.96044622175603</v>
      </c>
      <c r="H4" s="77">
        <f>AVERAGE('Biochem Summary'!K11:K16,'Biochem Summary'!K17:K21)</f>
        <v>295.12836363636364</v>
      </c>
      <c r="I4" s="77">
        <f>AVERAGE('Biochem Summary'!L11:L16,'Biochem Summary'!L17:L21)</f>
        <v>3225.2478676457317</v>
      </c>
      <c r="J4" s="247">
        <f>AVERAGE('Biochem Summary'!M11:M16,'Biochem Summary'!M17:M21)</f>
        <v>553.0854599532812</v>
      </c>
      <c r="K4" s="77">
        <f>AVERAGE('Biochem Summary'!N11:N16,'Biochem Summary'!N17:N21)</f>
        <v>117.65887411203541</v>
      </c>
      <c r="L4" s="77">
        <f>AVERAGE('Biochem Summary'!O11:O16,'Biochem Summary'!O17:O21)</f>
        <v>1286.6745797127521</v>
      </c>
      <c r="M4" s="247">
        <f>AVERAGE('Biochem Summary'!P11:P16,'Biochem Summary'!P17:P21)</f>
        <v>218.57106257820325</v>
      </c>
      <c r="N4" s="162">
        <f>AVERAGE('Biochem Summary'!Q17:Q21)</f>
        <v>4.8484536436295177E-3</v>
      </c>
      <c r="O4" s="162">
        <f>AVERAGE('Biochem Summary'!R17:R21)</f>
        <v>5.1904856490301957E-5</v>
      </c>
      <c r="P4" s="134">
        <f>AVERAGE('Biochem Summary'!S17:S21)</f>
        <v>8.3860995965714981E-3</v>
      </c>
      <c r="Q4" s="162">
        <f>AVERAGE('Biochem Summary'!T17:T21)</f>
        <v>1.9834733165320102</v>
      </c>
      <c r="R4" s="162">
        <f>AVERAGE('Biochem Summary'!U17:U21)</f>
        <v>2.1413164405776744E-2</v>
      </c>
      <c r="S4" s="134">
        <f>AVERAGE('Biochem Summary'!V17:V21)</f>
        <v>3.4244621978342358</v>
      </c>
      <c r="T4" s="162">
        <f>AVERAGE('Biochem Summary'!W22:W25)</f>
        <v>4.5116613502193259E-3</v>
      </c>
      <c r="U4" s="162">
        <f>AVERAGE('Biochem Summary'!X22:X25)</f>
        <v>5.1017146491244051E-5</v>
      </c>
      <c r="V4" s="165">
        <f>AVERAGE('Biochem Summary'!Y22:Y25)</f>
        <v>8.1070354257165422E-3</v>
      </c>
    </row>
    <row r="5" spans="1:22" x14ac:dyDescent="0.25">
      <c r="A5" s="55">
        <v>7</v>
      </c>
      <c r="B5" s="628"/>
      <c r="C5" s="52" t="s">
        <v>12</v>
      </c>
      <c r="D5" s="243">
        <f>Viability!I29</f>
        <v>28.728126558750006</v>
      </c>
      <c r="E5" s="243">
        <f>'Alamar Blue - Analysis'!F29</f>
        <v>1.9259259259259258</v>
      </c>
      <c r="F5" s="76">
        <f>Picogreen!V52</f>
        <v>52.425410714285711</v>
      </c>
      <c r="G5" s="247">
        <f>AVERAGE('Biochem Summary'!J26:J31)</f>
        <v>95.118571973937776</v>
      </c>
      <c r="H5" s="77">
        <f>AVERAGE('Biochem Summary'!K26:K31)</f>
        <v>270.02533333333361</v>
      </c>
      <c r="I5" s="77">
        <f>AVERAGE('Biochem Summary'!L26:L31)</f>
        <v>5371.0273939744493</v>
      </c>
      <c r="J5" s="247">
        <f>AVERAGE('Biochem Summary'!M26:M31)</f>
        <v>489.63054616791652</v>
      </c>
      <c r="K5" s="77">
        <f>AVERAGE('Biochem Summary'!N26:N31)</f>
        <v>106.47977176063632</v>
      </c>
      <c r="L5" s="77">
        <f>AVERAGE('Biochem Summary'!O26:O31)</f>
        <v>2151.9668019861379</v>
      </c>
      <c r="M5" s="247">
        <f>AVERAGE('Biochem Summary'!P26:P31)</f>
        <v>192.84501924996638</v>
      </c>
      <c r="N5" s="162">
        <f>AVERAGE('Biochem Summary'!Q26:Q31)</f>
        <v>6.6521751183668887E-4</v>
      </c>
      <c r="O5" s="162">
        <f>AVERAGE('Biochem Summary'!R26:R31)</f>
        <v>1.2415121507654131E-5</v>
      </c>
      <c r="P5" s="134">
        <f>AVERAGE('Biochem Summary'!S26:S31)</f>
        <v>1.2092015914289586E-3</v>
      </c>
      <c r="Q5" s="162">
        <f>AVERAGE('Biochem Summary'!T26:T31)</f>
        <v>3.4780786277312665</v>
      </c>
      <c r="R5" s="162">
        <f>AVERAGE('Biochem Summary'!U26:U31)</f>
        <v>6.6038053981967521E-2</v>
      </c>
      <c r="S5" s="134">
        <f>AVERAGE('Biochem Summary'!V26:V31)</f>
        <v>6.295392755888944</v>
      </c>
      <c r="T5" s="162"/>
      <c r="U5" s="162"/>
      <c r="V5" s="165"/>
    </row>
    <row r="6" spans="1:22" ht="15.75" thickBot="1" x14ac:dyDescent="0.3">
      <c r="B6" s="629"/>
      <c r="C6" s="101" t="s">
        <v>145</v>
      </c>
      <c r="D6" s="244">
        <f>Viability!I38</f>
        <v>36.192699250000004</v>
      </c>
      <c r="E6" s="244">
        <f>'Alamar Blue - Analysis'!F45</f>
        <v>2.174074074074074</v>
      </c>
      <c r="F6" s="209">
        <f>Picogreen!G67</f>
        <v>54.98395499999998</v>
      </c>
      <c r="G6" s="206">
        <f>AVERAGE('Biochem Summary'!J50:J55)</f>
        <v>100.52887686473987</v>
      </c>
      <c r="H6" s="209">
        <f>AVERAGE('Biochem Summary'!K50:K55)</f>
        <v>200.93274999999983</v>
      </c>
      <c r="I6" s="209">
        <f>AVERAGE('Biochem Summary'!L50:L55)</f>
        <v>3802.471527843365</v>
      </c>
      <c r="J6" s="206">
        <f>AVERAGE('Biochem Summary'!M50:M55)</f>
        <v>366.78298686543781</v>
      </c>
      <c r="K6" s="209">
        <f>AVERAGE('Biochem Summary'!N50:N55)</f>
        <v>125.47672480024038</v>
      </c>
      <c r="L6" s="209">
        <f>AVERAGE('Biochem Summary'!O50:O55)</f>
        <v>2472.9120983321423</v>
      </c>
      <c r="M6" s="206">
        <f>AVERAGE('Biochem Summary'!P50:P55)</f>
        <v>228.80782757220825</v>
      </c>
      <c r="N6" s="6"/>
      <c r="O6" s="6"/>
      <c r="P6" s="203"/>
      <c r="Q6" s="6"/>
      <c r="R6" s="6"/>
      <c r="S6" s="203"/>
      <c r="T6" s="6"/>
      <c r="U6" s="6"/>
      <c r="V6" s="7"/>
    </row>
    <row r="7" spans="1:22" x14ac:dyDescent="0.25">
      <c r="A7" s="55">
        <v>0</v>
      </c>
      <c r="B7" s="627" t="s">
        <v>93</v>
      </c>
      <c r="C7" s="288" t="s">
        <v>26</v>
      </c>
      <c r="D7" s="289">
        <f>Viability!S11</f>
        <v>38.288229596249998</v>
      </c>
      <c r="E7" s="289">
        <f>'Alamar Blue - Analysis'!L10</f>
        <v>1.1070422535211266</v>
      </c>
      <c r="F7" s="212">
        <f>Picogreen!G55</f>
        <v>77.302838333333327</v>
      </c>
      <c r="G7" s="246">
        <f>AVERAGE('Biochem Summary'!J70:J75)</f>
        <v>146.11298571393715</v>
      </c>
      <c r="H7" s="208">
        <f>AVERAGE('Biochem Summary'!K70:K75)</f>
        <v>231.0139999999999</v>
      </c>
      <c r="I7" s="208">
        <f>AVERAGE('Biochem Summary'!L70:L75)</f>
        <v>3042.0877748243925</v>
      </c>
      <c r="J7" s="246">
        <f>AVERAGE('Biochem Summary'!M70:M75)</f>
        <v>435.63999229615433</v>
      </c>
      <c r="K7" s="208">
        <f>AVERAGE('Biochem Summary'!N70:N75)</f>
        <v>96.18330745919836</v>
      </c>
      <c r="L7" s="208">
        <f>AVERAGE('Biochem Summary'!O70:O75)</f>
        <v>1272.8482325308039</v>
      </c>
      <c r="M7" s="246">
        <f>AVERAGE('Biochem Summary'!P70:P75)</f>
        <v>180.42606973756256</v>
      </c>
      <c r="N7" s="307"/>
      <c r="O7" s="307"/>
      <c r="P7" s="308"/>
      <c r="Q7" s="307"/>
      <c r="R7" s="307"/>
      <c r="S7" s="308"/>
      <c r="T7" s="307"/>
      <c r="U7" s="307"/>
      <c r="V7" s="309"/>
    </row>
    <row r="8" spans="1:22" x14ac:dyDescent="0.25">
      <c r="A8" s="55">
        <v>1</v>
      </c>
      <c r="B8" s="628"/>
      <c r="C8" s="53" t="s">
        <v>11</v>
      </c>
      <c r="D8" s="242">
        <f>Viability!S20</f>
        <v>31.741872250000004</v>
      </c>
      <c r="E8" s="242">
        <f>'Alamar Blue - Analysis'!L18</f>
        <v>1.3432098765432097</v>
      </c>
      <c r="F8" s="76">
        <f>AVERAGE('Biochem Summary'!I76:I81,'Biochem Summary'!I82:I86)</f>
        <v>61.360482597402594</v>
      </c>
      <c r="G8" s="248">
        <f>AVERAGE('Biochem Summary'!J76:J81,'Biochem Summary'!J82:J86)</f>
        <v>118.93234066348624</v>
      </c>
      <c r="H8" s="76">
        <f>AVERAGE('Biochem Summary'!K76:K81,'Biochem Summary'!K82:K86)</f>
        <v>221.3876363636362</v>
      </c>
      <c r="I8" s="76">
        <f>AVERAGE('Biochem Summary'!L76:L81,'Biochem Summary'!L82:L86)</f>
        <v>3650.9822362363207</v>
      </c>
      <c r="J8" s="248">
        <f>AVERAGE('Biochem Summary'!M76:M81,'Biochem Summary'!M82:M86)</f>
        <v>425.87555007447958</v>
      </c>
      <c r="K8" s="76">
        <f>AVERAGE('Biochem Summary'!N76:N81,'Biochem Summary'!N82:N86)</f>
        <v>114.40053104767171</v>
      </c>
      <c r="L8" s="76">
        <f>AVERAGE('Biochem Summary'!O76:O81,'Biochem Summary'!O82:O86)</f>
        <v>1894.0578844936708</v>
      </c>
      <c r="M8" s="248">
        <f>AVERAGE('Biochem Summary'!P76:P81,'Biochem Summary'!P82:P86)</f>
        <v>219.17586699578681</v>
      </c>
      <c r="N8" s="162">
        <f>AVERAGE('Biochem Summary'!Q82:Q86)</f>
        <v>6.5608647044658485E-4</v>
      </c>
      <c r="O8" s="162">
        <f>AVERAGE('Biochem Summary'!R82:R86)</f>
        <v>1.1084705714244227E-5</v>
      </c>
      <c r="P8" s="134">
        <f>AVERAGE('Biochem Summary'!S82:S86)</f>
        <v>1.3370898451656346E-3</v>
      </c>
      <c r="Q8" s="162">
        <f>AVERAGE('Biochem Summary'!T82:T86)</f>
        <v>1.1631198442984796</v>
      </c>
      <c r="R8" s="162">
        <f>AVERAGE('Biochem Summary'!U82:U86)</f>
        <v>1.9483029415810774E-2</v>
      </c>
      <c r="S8" s="134">
        <f>AVERAGE('Biochem Summary'!V82:V86)</f>
        <v>2.3635957438811004</v>
      </c>
      <c r="T8" s="162">
        <f>AVERAGE('Biochem Summary'!W87:W91)</f>
        <v>2.619540269045333E-3</v>
      </c>
      <c r="U8" s="162">
        <f>AVERAGE('Biochem Summary'!X87:X91)</f>
        <v>4.3752167498926212E-5</v>
      </c>
      <c r="V8" s="165">
        <f>AVERAGE('Biochem Summary'!Y87:Y91)</f>
        <v>5.2279519425693123E-3</v>
      </c>
    </row>
    <row r="9" spans="1:22" x14ac:dyDescent="0.25">
      <c r="A9" s="55">
        <v>7</v>
      </c>
      <c r="B9" s="628"/>
      <c r="C9" s="54" t="s">
        <v>12</v>
      </c>
      <c r="D9" s="242">
        <f>Viability!S28</f>
        <v>21.113805347400003</v>
      </c>
      <c r="E9" s="242">
        <f>'Alamar Blue - Analysis'!L25</f>
        <v>1.6372670807453418</v>
      </c>
      <c r="F9" s="76">
        <f>Picogreen!G50</f>
        <v>28.457413333333335</v>
      </c>
      <c r="G9" s="247">
        <f>AVERAGE('Biochem Summary'!J92:J96)</f>
        <v>61.419816938729511</v>
      </c>
      <c r="H9" s="77">
        <f>AVERAGE('Biochem Summary'!K92:K96)</f>
        <v>222.35059999999984</v>
      </c>
      <c r="I9" s="77">
        <f>AVERAGE('Biochem Summary'!L92:L96)</f>
        <v>8211.3260827161139</v>
      </c>
      <c r="J9" s="247">
        <f>AVERAGE('Biochem Summary'!M92:M96)</f>
        <v>467.33333946211968</v>
      </c>
      <c r="K9" s="77">
        <f>AVERAGE('Biochem Summary'!N92:N96)</f>
        <v>89.852867727935859</v>
      </c>
      <c r="L9" s="77">
        <f>AVERAGE('Biochem Summary'!O92:O96)</f>
        <v>3350.0604276161603</v>
      </c>
      <c r="M9" s="247">
        <f>AVERAGE('Biochem Summary'!P92:P96)</f>
        <v>191.40076650192754</v>
      </c>
      <c r="N9" s="162"/>
      <c r="O9" s="162"/>
      <c r="P9" s="134"/>
      <c r="Q9" s="162"/>
      <c r="R9" s="162"/>
      <c r="S9" s="134"/>
      <c r="T9" s="162"/>
      <c r="U9" s="162"/>
      <c r="V9" s="165"/>
    </row>
    <row r="10" spans="1:22" ht="15.75" thickBot="1" x14ac:dyDescent="0.3">
      <c r="B10" s="629"/>
      <c r="C10" s="101" t="s">
        <v>145</v>
      </c>
      <c r="D10" s="245">
        <f>Viability!S40</f>
        <v>34.899939704445451</v>
      </c>
      <c r="E10" s="245">
        <f>'Alamar Blue - Analysis'!L34</f>
        <v>2.2666626833567354</v>
      </c>
      <c r="F10" s="209">
        <f>Picogreen!V58</f>
        <v>31.733552380952375</v>
      </c>
      <c r="G10" s="206">
        <f>AVERAGE('Biochem Summary'!J117:J120)</f>
        <v>75.559179766291379</v>
      </c>
      <c r="H10" s="209">
        <f>AVERAGE('Biochem Summary'!K117:K120)</f>
        <v>183.04333333333329</v>
      </c>
      <c r="I10" s="209">
        <f>AVERAGE('Biochem Summary'!L117:L120)</f>
        <v>5951.7905263214152</v>
      </c>
      <c r="J10" s="206">
        <f>AVERAGE('Biochem Summary'!M117:M120)</f>
        <v>436.16113805935947</v>
      </c>
      <c r="K10" s="209">
        <f>AVERAGE('Biochem Summary'!N117:N120)</f>
        <v>71.702422656136363</v>
      </c>
      <c r="L10" s="209">
        <f>AVERAGE('Biochem Summary'!O117:O120)</f>
        <v>2362.0725944601286</v>
      </c>
      <c r="M10" s="206">
        <f>AVERAGE('Biochem Summary'!P117:P120)</f>
        <v>168.753030504252</v>
      </c>
      <c r="N10" s="6">
        <f>AVERAGE('Biochem Summary'!Q117:Q122)</f>
        <v>1.3003574903500512E-3</v>
      </c>
      <c r="O10" s="6">
        <f>AVERAGE('Biochem Summary'!R117:R122)</f>
        <v>5.3628052775717074E-5</v>
      </c>
      <c r="P10" s="203">
        <f>AVERAGE('Biochem Summary'!S117:S122)</f>
        <v>2.8994581014476382E-3</v>
      </c>
      <c r="Q10" s="6">
        <f>AVERAGE('Biochem Summary'!T117:T122)</f>
        <v>1.3262383419437984</v>
      </c>
      <c r="R10" s="6">
        <f>AVERAGE('Biochem Summary'!U117:U122)</f>
        <v>5.5477481548219222E-2</v>
      </c>
      <c r="S10" s="203">
        <f>AVERAGE('Biochem Summary'!V117:V122)</f>
        <v>2.9501895280578383</v>
      </c>
      <c r="T10" s="6"/>
      <c r="U10" s="6"/>
      <c r="V10" s="7"/>
    </row>
  </sheetData>
  <mergeCells count="12">
    <mergeCell ref="K1:M1"/>
    <mergeCell ref="N1:P1"/>
    <mergeCell ref="Q1:S1"/>
    <mergeCell ref="T1:V1"/>
    <mergeCell ref="D1:D2"/>
    <mergeCell ref="B3:B6"/>
    <mergeCell ref="B7:B10"/>
    <mergeCell ref="E1:E2"/>
    <mergeCell ref="F1:G1"/>
    <mergeCell ref="H1:J1"/>
    <mergeCell ref="C1:C2"/>
    <mergeCell ref="B1:B2"/>
  </mergeCells>
  <hyperlinks>
    <hyperlink ref="A1" location="'Table of Contents'!A1" display="Table of Contents" xr:uid="{00097B91-4EF8-466A-AEB2-785BB4D91B44}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1611-1661-4704-A8F7-30240279118F}">
  <dimension ref="A1:R38"/>
  <sheetViews>
    <sheetView workbookViewId="0">
      <selection activeCell="P15" sqref="P15"/>
    </sheetView>
  </sheetViews>
  <sheetFormatPr defaultRowHeight="15" x14ac:dyDescent="0.25"/>
  <cols>
    <col min="1" max="1" width="17.42578125" customWidth="1"/>
    <col min="2" max="2" width="12.42578125" customWidth="1"/>
    <col min="3" max="3" width="16.140625" customWidth="1"/>
    <col min="8" max="8" width="9.5703125" bestFit="1" customWidth="1"/>
    <col min="9" max="11" width="9.5703125" customWidth="1"/>
    <col min="15" max="15" width="12.140625" customWidth="1"/>
    <col min="18" max="18" width="10.42578125" customWidth="1"/>
    <col min="23" max="23" width="15" customWidth="1"/>
  </cols>
  <sheetData>
    <row r="1" spans="1:18" ht="15.75" customHeight="1" x14ac:dyDescent="0.25">
      <c r="A1" s="38" t="s">
        <v>9</v>
      </c>
      <c r="B1" s="644" t="s">
        <v>10</v>
      </c>
      <c r="C1" s="635" t="s">
        <v>235</v>
      </c>
      <c r="D1" s="638" t="s">
        <v>56</v>
      </c>
      <c r="E1" s="839" t="s">
        <v>382</v>
      </c>
      <c r="F1" s="841" t="s">
        <v>383</v>
      </c>
      <c r="G1" s="735" t="s">
        <v>384</v>
      </c>
      <c r="H1" s="843" t="s">
        <v>385</v>
      </c>
      <c r="I1" s="844"/>
      <c r="J1" s="454"/>
    </row>
    <row r="2" spans="1:18" ht="15.75" thickBot="1" x14ac:dyDescent="0.3">
      <c r="B2" s="646"/>
      <c r="C2" s="636"/>
      <c r="D2" s="639"/>
      <c r="E2" s="840"/>
      <c r="F2" s="842"/>
      <c r="G2" s="737"/>
      <c r="H2" s="827"/>
      <c r="I2" s="845"/>
      <c r="J2" s="454"/>
    </row>
    <row r="3" spans="1:18" ht="15.75" thickBot="1" x14ac:dyDescent="0.3">
      <c r="B3" s="627" t="s">
        <v>143</v>
      </c>
      <c r="C3" s="638" t="s">
        <v>225</v>
      </c>
      <c r="D3" s="443" t="s">
        <v>252</v>
      </c>
      <c r="E3" s="8">
        <v>8.8579395393829398E-3</v>
      </c>
      <c r="F3" s="8">
        <v>0.31508754597434802</v>
      </c>
      <c r="G3" s="8">
        <v>1845993</v>
      </c>
      <c r="H3" s="8">
        <v>2.41143564693901E-2</v>
      </c>
      <c r="I3" s="9"/>
    </row>
    <row r="4" spans="1:18" x14ac:dyDescent="0.25">
      <c r="B4" s="628"/>
      <c r="C4" s="696"/>
      <c r="D4" s="122" t="s">
        <v>253</v>
      </c>
      <c r="E4">
        <v>1.0338383214949899E-2</v>
      </c>
      <c r="F4">
        <v>0.26874871263364902</v>
      </c>
      <c r="G4">
        <v>247837.5</v>
      </c>
      <c r="H4">
        <v>3.0474469954194401E-2</v>
      </c>
      <c r="I4" s="4"/>
      <c r="L4" s="644" t="s">
        <v>42</v>
      </c>
      <c r="M4" s="8" t="s">
        <v>26</v>
      </c>
      <c r="N4" s="8">
        <f>AVERAGE(E34:E38)</f>
        <v>2.3499049500356811E-3</v>
      </c>
      <c r="O4" s="512">
        <f>AVERAGE(F34:F38)</f>
        <v>0.13922298900292543</v>
      </c>
      <c r="P4" s="8">
        <f>AVERAGE(G34:G38)</f>
        <v>702566.81666666607</v>
      </c>
      <c r="Q4" s="9">
        <f>AVERAGE(H34:H38)</f>
        <v>1.1504548923477638E-2</v>
      </c>
    </row>
    <row r="5" spans="1:18" x14ac:dyDescent="0.25">
      <c r="B5" s="628"/>
      <c r="C5" s="657" t="s">
        <v>150</v>
      </c>
      <c r="D5" s="122" t="s">
        <v>252</v>
      </c>
      <c r="E5">
        <v>8.0821820750710295E-3</v>
      </c>
      <c r="F5">
        <v>0.30575925246199298</v>
      </c>
      <c r="G5">
        <v>617476.25</v>
      </c>
      <c r="H5">
        <v>2.4872797042478401E-2</v>
      </c>
      <c r="I5" s="4"/>
      <c r="L5" s="645"/>
      <c r="Q5" s="4"/>
    </row>
    <row r="6" spans="1:18" x14ac:dyDescent="0.25">
      <c r="B6" s="628"/>
      <c r="C6" s="657"/>
      <c r="D6" s="122" t="s">
        <v>253</v>
      </c>
      <c r="E6">
        <v>4.3265039363941599E-3</v>
      </c>
      <c r="F6">
        <v>0.311312845570275</v>
      </c>
      <c r="G6">
        <v>1342284.33333333</v>
      </c>
      <c r="H6">
        <v>1.36405691141189E-2</v>
      </c>
      <c r="I6" s="4"/>
      <c r="L6" s="645"/>
      <c r="M6" t="s">
        <v>12</v>
      </c>
      <c r="N6">
        <f>AVERAGE(E3:E7)</f>
        <v>7.6819186426891877E-3</v>
      </c>
      <c r="O6" s="379">
        <f>AVERAGE(F3:F7)</f>
        <v>0.29791305260871281</v>
      </c>
      <c r="P6">
        <f>AVERAGE(G3:G7)</f>
        <v>1126609.0833333321</v>
      </c>
      <c r="Q6" s="4">
        <f>AVERAGE(H3:H7)</f>
        <v>2.3100605663523323E-2</v>
      </c>
    </row>
    <row r="7" spans="1:18" ht="15.75" thickBot="1" x14ac:dyDescent="0.3">
      <c r="B7" s="730"/>
      <c r="C7" s="658"/>
      <c r="D7" s="139" t="s">
        <v>266</v>
      </c>
      <c r="E7" s="162">
        <v>6.8045844476479099E-3</v>
      </c>
      <c r="F7" s="162">
        <v>0.288656906403299</v>
      </c>
      <c r="G7" s="162">
        <v>1579454.33333333</v>
      </c>
      <c r="H7" s="162">
        <v>2.2400835737434802E-2</v>
      </c>
      <c r="I7" s="165"/>
      <c r="L7" s="646"/>
      <c r="M7" s="6" t="s">
        <v>145</v>
      </c>
      <c r="N7" s="6">
        <f>AVERAGE(E12:E16)</f>
        <v>2.6664540150369382E-3</v>
      </c>
      <c r="O7" s="6">
        <f>AVERAGE(F12:F16)</f>
        <v>5.6488977677390327E-2</v>
      </c>
      <c r="P7" s="6">
        <f>AVERAGE(G12:G16)</f>
        <v>698883.13333333342</v>
      </c>
      <c r="Q7" s="7">
        <f>AVERAGE(H12:H16)</f>
        <v>1.4087418300151861E-2</v>
      </c>
    </row>
    <row r="8" spans="1:18" x14ac:dyDescent="0.25">
      <c r="B8" s="628" t="s">
        <v>142</v>
      </c>
      <c r="C8" s="657" t="s">
        <v>226</v>
      </c>
      <c r="D8" s="122" t="s">
        <v>268</v>
      </c>
      <c r="E8" s="122"/>
      <c r="F8" s="122"/>
      <c r="G8" s="122"/>
      <c r="H8" s="122"/>
      <c r="I8" s="4"/>
      <c r="L8" s="644" t="s">
        <v>63</v>
      </c>
      <c r="M8" s="8" t="s">
        <v>26</v>
      </c>
      <c r="N8" s="8">
        <f>AVERAGE(E28:E33)</f>
        <v>2.0037214647579079E-3</v>
      </c>
      <c r="O8" s="8">
        <f>AVERAGE(F28:F33)</f>
        <v>0.13535718331767865</v>
      </c>
      <c r="P8" s="8">
        <f>AVERAGE(G28:G33)</f>
        <v>484329.5555555555</v>
      </c>
      <c r="Q8" s="9">
        <f>AVERAGE(H28:H33)</f>
        <v>1.245941077196284E-2</v>
      </c>
    </row>
    <row r="9" spans="1:18" x14ac:dyDescent="0.25">
      <c r="B9" s="628"/>
      <c r="C9" s="657"/>
      <c r="D9" s="122" t="s">
        <v>236</v>
      </c>
      <c r="E9" s="122"/>
      <c r="F9" s="122"/>
      <c r="G9" s="122"/>
      <c r="H9" s="122"/>
      <c r="I9" s="4"/>
      <c r="L9" s="645"/>
      <c r="Q9" s="4"/>
    </row>
    <row r="10" spans="1:18" x14ac:dyDescent="0.25">
      <c r="B10" s="628"/>
      <c r="C10" s="657"/>
      <c r="D10" s="122" t="s">
        <v>269</v>
      </c>
      <c r="E10" s="122"/>
      <c r="F10" s="122"/>
      <c r="G10" s="122"/>
      <c r="H10" s="122"/>
      <c r="I10" s="4"/>
      <c r="L10" s="645"/>
      <c r="M10" t="s">
        <v>12</v>
      </c>
      <c r="N10">
        <f>AVERAGE(E17:E20)</f>
        <v>6.0254610767823897E-3</v>
      </c>
      <c r="O10" s="379">
        <f>AVERAGE(F18:F20)</f>
        <v>0.21543159192342068</v>
      </c>
      <c r="P10">
        <f>AVERAGE(G18:G20)</f>
        <v>897870.33333333337</v>
      </c>
      <c r="Q10" s="4">
        <f>AVERAGE(H18:H20)</f>
        <v>2.2915784547915832E-2</v>
      </c>
    </row>
    <row r="11" spans="1:18" ht="15.75" thickBot="1" x14ac:dyDescent="0.3">
      <c r="B11" s="730"/>
      <c r="C11" s="658"/>
      <c r="D11" s="139" t="s">
        <v>276</v>
      </c>
      <c r="E11" s="139"/>
      <c r="F11" s="139"/>
      <c r="G11" s="139"/>
      <c r="H11" s="139"/>
      <c r="I11" s="165"/>
      <c r="L11" s="646"/>
      <c r="M11" s="6" t="s">
        <v>145</v>
      </c>
      <c r="N11" s="6">
        <f>AVERAGE(E21:E24)</f>
        <v>2.1428289150158012E-3</v>
      </c>
      <c r="O11" s="6">
        <f>AVERAGE(F21:F24)</f>
        <v>0.12769615229680148</v>
      </c>
      <c r="P11" s="6">
        <f>AVERAGE(G21:G24)</f>
        <v>1033082.916666666</v>
      </c>
      <c r="Q11" s="7">
        <f>AVERAGE(H21:H24)</f>
        <v>1.2830264563631988E-2</v>
      </c>
    </row>
    <row r="12" spans="1:18" x14ac:dyDescent="0.25">
      <c r="B12" s="831" t="s">
        <v>149</v>
      </c>
      <c r="C12" s="500" t="s">
        <v>227</v>
      </c>
      <c r="D12" s="143" t="s">
        <v>240</v>
      </c>
      <c r="E12">
        <v>1.00355976712152E-2</v>
      </c>
      <c r="G12">
        <v>1478276</v>
      </c>
      <c r="H12">
        <v>3.1159390914869502E-2</v>
      </c>
      <c r="I12" s="4"/>
    </row>
    <row r="13" spans="1:18" ht="15.75" thickBot="1" x14ac:dyDescent="0.3">
      <c r="B13" s="628"/>
      <c r="C13" s="657" t="s">
        <v>362</v>
      </c>
      <c r="D13" s="122" t="s">
        <v>375</v>
      </c>
      <c r="E13">
        <v>5.4381923829545896E-4</v>
      </c>
      <c r="F13">
        <v>4.0899519439776398E-2</v>
      </c>
      <c r="G13">
        <v>304089</v>
      </c>
      <c r="H13">
        <v>8.2946204922777593E-3</v>
      </c>
      <c r="I13" s="4" t="s">
        <v>379</v>
      </c>
    </row>
    <row r="14" spans="1:18" ht="15.75" customHeight="1" thickBot="1" x14ac:dyDescent="0.3">
      <c r="B14" s="628"/>
      <c r="C14" s="657"/>
      <c r="D14" s="122" t="s">
        <v>277</v>
      </c>
      <c r="E14">
        <v>7.59721747927535E-4</v>
      </c>
      <c r="F14">
        <v>4.40533176002657E-2</v>
      </c>
      <c r="G14">
        <v>313582.66666666698</v>
      </c>
      <c r="H14">
        <v>1.08464460401329E-2</v>
      </c>
      <c r="I14" s="4" t="s">
        <v>379</v>
      </c>
      <c r="L14" s="689" t="s">
        <v>222</v>
      </c>
      <c r="M14" s="87"/>
      <c r="N14" s="441"/>
      <c r="O14" s="8"/>
      <c r="P14" s="8"/>
      <c r="Q14" s="8"/>
      <c r="R14" s="9"/>
    </row>
    <row r="15" spans="1:18" x14ac:dyDescent="0.25">
      <c r="B15" s="628"/>
      <c r="C15" s="657"/>
      <c r="D15" s="122" t="s">
        <v>239</v>
      </c>
      <c r="E15">
        <v>1.1704037419679901E-3</v>
      </c>
      <c r="F15">
        <v>7.9242985586962703E-2</v>
      </c>
      <c r="G15">
        <v>572871.66666666698</v>
      </c>
      <c r="H15">
        <v>1.0342801404582699E-2</v>
      </c>
      <c r="I15" s="4"/>
      <c r="L15" s="690"/>
      <c r="M15" s="628" t="s">
        <v>72</v>
      </c>
      <c r="N15" s="4" t="s">
        <v>66</v>
      </c>
      <c r="O15" s="375">
        <f>TTEST(E34:E38,E3:E7,1,2)</f>
        <v>1.2727399029789711E-3</v>
      </c>
      <c r="P15" s="8">
        <f>TTEST(F34:F38,F3:F7,1,2)</f>
        <v>6.7707650820182099E-4</v>
      </c>
      <c r="Q15" s="8">
        <f>TTEST(G34:G38,G3:G7,1,2)</f>
        <v>0.12675890987687524</v>
      </c>
      <c r="R15" s="9">
        <f>TTEST(H34:H38,H3:H7,1,2)</f>
        <v>3.6868188244515879E-3</v>
      </c>
    </row>
    <row r="16" spans="1:18" ht="15.75" thickBot="1" x14ac:dyDescent="0.3">
      <c r="B16" s="730"/>
      <c r="C16" s="658"/>
      <c r="D16" s="139" t="s">
        <v>279</v>
      </c>
      <c r="E16" s="162">
        <v>8.2272767577850801E-4</v>
      </c>
      <c r="F16" s="162">
        <v>6.1760088082556501E-2</v>
      </c>
      <c r="G16" s="162">
        <v>825596.33333333302</v>
      </c>
      <c r="H16" s="162">
        <v>9.7938326488964493E-3</v>
      </c>
      <c r="I16" s="165"/>
      <c r="L16" s="690"/>
      <c r="M16" s="628"/>
      <c r="N16" s="94" t="s">
        <v>221</v>
      </c>
      <c r="O16" s="81">
        <f>TTEST(E3:E7,E12:E16,1,2)</f>
        <v>2.2223508099995869E-2</v>
      </c>
      <c r="P16" s="6">
        <f>TTEST(F3:F7,F12:F16,1,2)</f>
        <v>1.2168858761744547E-7</v>
      </c>
      <c r="Q16" s="6">
        <f>TTEST(G3:G7,G12:G16,1,2)</f>
        <v>0.14076921176224264</v>
      </c>
      <c r="R16" s="7">
        <f>TTEST(H3:H7,H12:H16,1,2)</f>
        <v>5.7027391799743608E-2</v>
      </c>
    </row>
    <row r="17" spans="2:18" x14ac:dyDescent="0.25">
      <c r="B17" s="628" t="s">
        <v>94</v>
      </c>
      <c r="C17" s="657" t="s">
        <v>323</v>
      </c>
      <c r="D17" s="122" t="s">
        <v>298</v>
      </c>
      <c r="E17">
        <v>8.2966803531267404E-3</v>
      </c>
      <c r="F17">
        <v>0.26477199880969499</v>
      </c>
      <c r="G17">
        <v>609305.5</v>
      </c>
      <c r="H17">
        <v>2.3777380983604299E-2</v>
      </c>
      <c r="I17" s="4"/>
      <c r="L17" s="690"/>
      <c r="M17" s="627" t="s">
        <v>73</v>
      </c>
      <c r="N17" s="4" t="s">
        <v>66</v>
      </c>
      <c r="O17">
        <f>TTEST(E28:E33,E18:E20,1,2)</f>
        <v>9.237459590200248E-3</v>
      </c>
      <c r="P17">
        <f>TTEST(F28:F33,F18:F20,1,2)</f>
        <v>0.10938230318138083</v>
      </c>
      <c r="Q17">
        <f>TTEST(G28:G33,G18:G20,1,2)</f>
        <v>4.6752356467214895E-3</v>
      </c>
      <c r="R17" s="4">
        <f>TTEST(H28:H33,H18:H20,1,2)</f>
        <v>6.5222225947917148E-4</v>
      </c>
    </row>
    <row r="18" spans="2:18" ht="15.75" thickBot="1" x14ac:dyDescent="0.3">
      <c r="B18" s="628"/>
      <c r="C18" s="657"/>
      <c r="D18" s="122" t="s">
        <v>253</v>
      </c>
      <c r="E18">
        <v>4.1294700600297699E-3</v>
      </c>
      <c r="F18">
        <v>0.19461592569764799</v>
      </c>
      <c r="G18">
        <v>750528.5</v>
      </c>
      <c r="H18">
        <v>2.0031708251882101E-2</v>
      </c>
      <c r="I18" s="4"/>
      <c r="L18" s="690"/>
      <c r="M18" s="629"/>
      <c r="N18" s="7" t="s">
        <v>221</v>
      </c>
      <c r="O18">
        <f>TTEST(E18:E20,E21:E24,1,2)</f>
        <v>3.2925668385907089E-2</v>
      </c>
      <c r="P18">
        <f>TTEST(F18:F20,F21:F24,1,2)</f>
        <v>5.3612743936736748E-2</v>
      </c>
      <c r="Q18">
        <f>TTEST(G18:G20,G21:G24,1,2)</f>
        <v>0.23030000858753832</v>
      </c>
      <c r="R18" s="4">
        <f>TTEST(H18:H20,H21:H24,1,2)</f>
        <v>2.0121288134912381E-2</v>
      </c>
    </row>
    <row r="19" spans="2:18" ht="15" customHeight="1" x14ac:dyDescent="0.25">
      <c r="B19" s="628"/>
      <c r="C19" s="657"/>
      <c r="D19" s="122" t="s">
        <v>269</v>
      </c>
      <c r="E19">
        <v>4.8716174968596003E-3</v>
      </c>
      <c r="F19">
        <v>0.22740070534993401</v>
      </c>
      <c r="G19">
        <v>1001126.25</v>
      </c>
      <c r="H19">
        <v>2.1800119673806899E-2</v>
      </c>
      <c r="I19" s="4"/>
      <c r="L19" s="690"/>
      <c r="M19" s="698" t="s">
        <v>220</v>
      </c>
      <c r="N19" s="9" t="s">
        <v>26</v>
      </c>
      <c r="O19" s="375">
        <f>TTEST(E34:E38,E28:E33,1,2)</f>
        <v>0.36159370804212398</v>
      </c>
      <c r="P19" s="8">
        <f>TTEST(F34:F38,F28:F33,1,2)</f>
        <v>0.47171788598389996</v>
      </c>
      <c r="Q19" s="8">
        <f>TTEST(G34:G38,G28:G33,1,2)</f>
        <v>0.11887424275614929</v>
      </c>
      <c r="R19" s="9">
        <f>TTEST(H34:H38,H28:H33,1,2)</f>
        <v>0.31970923036771587</v>
      </c>
    </row>
    <row r="20" spans="2:18" x14ac:dyDescent="0.25">
      <c r="B20" s="730"/>
      <c r="C20" s="658"/>
      <c r="D20" s="139" t="s">
        <v>276</v>
      </c>
      <c r="E20" s="138">
        <v>6.8040763971134498E-3</v>
      </c>
      <c r="F20" s="162">
        <v>0.22427814472268001</v>
      </c>
      <c r="G20" s="162">
        <v>941956.25</v>
      </c>
      <c r="H20" s="162">
        <v>2.6915525718058501E-2</v>
      </c>
      <c r="I20" s="165"/>
      <c r="L20" s="690"/>
      <c r="M20" s="699"/>
      <c r="N20" s="4" t="s">
        <v>12</v>
      </c>
      <c r="O20" s="80">
        <f>TTEST(E3:E7,E18:E20,1,2)</f>
        <v>7.6326385034574243E-2</v>
      </c>
      <c r="P20">
        <f>TTEST(F3:F7,F18:F20,1,2)</f>
        <v>4.8294115239051749E-4</v>
      </c>
      <c r="Q20">
        <f>TTEST(G3:G7,G18:G20,1,2)</f>
        <v>0.29583474307758434</v>
      </c>
      <c r="R20" s="4">
        <f>TTEST(H3:H7,H18:H20,1,2)</f>
        <v>0.48202550075967021</v>
      </c>
    </row>
    <row r="21" spans="2:18" ht="15.75" thickBot="1" x14ac:dyDescent="0.3">
      <c r="B21" s="831" t="s">
        <v>144</v>
      </c>
      <c r="C21" s="500" t="s">
        <v>229</v>
      </c>
      <c r="D21" s="143" t="s">
        <v>299</v>
      </c>
      <c r="E21">
        <v>5.0197530159690699E-3</v>
      </c>
      <c r="F21">
        <v>0.23327810805423699</v>
      </c>
      <c r="G21">
        <v>1355850</v>
      </c>
      <c r="H21">
        <v>2.0850185657957002E-2</v>
      </c>
      <c r="I21" s="4"/>
      <c r="L21" s="691"/>
      <c r="M21" s="700"/>
      <c r="N21" s="7" t="s">
        <v>219</v>
      </c>
      <c r="O21" s="81">
        <f>TTEST(E12:E16,E21:E24,1,2)</f>
        <v>0.41171686827935483</v>
      </c>
      <c r="P21" s="6">
        <f>TTEST(F12:F16,F21:F24,1,2)</f>
        <v>5.5567504850972976E-2</v>
      </c>
      <c r="Q21" s="6">
        <f>TTEST(G12:G16,G21:G24,1,2)</f>
        <v>0.12982868785766108</v>
      </c>
      <c r="R21" s="7">
        <f>TTEST(H12:H16,H21:H24,1,2)</f>
        <v>0.41166494658633274</v>
      </c>
    </row>
    <row r="22" spans="2:18" x14ac:dyDescent="0.25">
      <c r="B22" s="628"/>
      <c r="C22" s="657" t="s">
        <v>362</v>
      </c>
      <c r="D22" s="122" t="s">
        <v>239</v>
      </c>
      <c r="E22">
        <v>1.3278445559371901E-3</v>
      </c>
      <c r="F22">
        <v>0.10330256806799799</v>
      </c>
      <c r="G22">
        <v>1103392.33333333</v>
      </c>
      <c r="H22">
        <v>1.07221899019188E-2</v>
      </c>
      <c r="I22" s="4"/>
      <c r="L22" s="511"/>
      <c r="M22" s="511"/>
    </row>
    <row r="23" spans="2:18" x14ac:dyDescent="0.25">
      <c r="B23" s="628"/>
      <c r="C23" s="657"/>
      <c r="D23" s="122" t="s">
        <v>278</v>
      </c>
      <c r="E23">
        <v>7.0620531533115496E-4</v>
      </c>
      <c r="F23">
        <v>5.9957703252215999E-2</v>
      </c>
      <c r="G23">
        <v>725095.66666666698</v>
      </c>
      <c r="H23">
        <v>8.5760805496523495E-3</v>
      </c>
      <c r="I23" s="4" t="s">
        <v>380</v>
      </c>
      <c r="L23" s="511"/>
    </row>
    <row r="24" spans="2:18" x14ac:dyDescent="0.25">
      <c r="B24" s="730"/>
      <c r="C24" s="658"/>
      <c r="D24" s="139" t="s">
        <v>238</v>
      </c>
      <c r="E24" s="138">
        <v>1.5175127728257901E-3</v>
      </c>
      <c r="F24" s="162">
        <v>0.11424622981275501</v>
      </c>
      <c r="G24" s="162">
        <v>947993.66666666698</v>
      </c>
      <c r="H24" s="162">
        <v>1.1172602144999801E-2</v>
      </c>
      <c r="I24" s="165"/>
      <c r="L24" s="511"/>
    </row>
    <row r="25" spans="2:18" x14ac:dyDescent="0.25">
      <c r="B25" s="628" t="s">
        <v>96</v>
      </c>
      <c r="C25" s="657" t="s">
        <v>230</v>
      </c>
      <c r="D25" s="122" t="s">
        <v>298</v>
      </c>
      <c r="E25">
        <v>1.6039901466320099E-3</v>
      </c>
      <c r="F25">
        <v>0.119815536451841</v>
      </c>
      <c r="G25">
        <v>1019394</v>
      </c>
      <c r="H25">
        <v>1.3281088109732501E-2</v>
      </c>
      <c r="I25" s="4"/>
      <c r="L25" s="511"/>
    </row>
    <row r="26" spans="2:18" x14ac:dyDescent="0.25">
      <c r="B26" s="628"/>
      <c r="C26" s="657"/>
      <c r="D26" s="122" t="s">
        <v>324</v>
      </c>
      <c r="E26">
        <v>2.8349869968429401E-3</v>
      </c>
      <c r="F26">
        <v>0.24134371718634801</v>
      </c>
      <c r="G26">
        <v>2152607.6666666698</v>
      </c>
      <c r="H26">
        <v>1.51119975953734E-2</v>
      </c>
      <c r="I26" s="4"/>
      <c r="L26" s="511"/>
    </row>
    <row r="27" spans="2:18" x14ac:dyDescent="0.25">
      <c r="B27" s="730"/>
      <c r="C27" s="658"/>
      <c r="D27" s="139" t="s">
        <v>277</v>
      </c>
      <c r="E27" s="138">
        <v>1.9141136907305E-3</v>
      </c>
      <c r="F27" s="162">
        <v>0.156189244831173</v>
      </c>
      <c r="G27" s="162">
        <v>759132.33333333302</v>
      </c>
      <c r="H27" s="162">
        <v>1.4721304272574801E-2</v>
      </c>
      <c r="I27" s="165"/>
    </row>
    <row r="28" spans="2:18" x14ac:dyDescent="0.25">
      <c r="B28" s="628" t="s">
        <v>95</v>
      </c>
      <c r="C28" s="680" t="s">
        <v>234</v>
      </c>
      <c r="D28" s="143" t="s">
        <v>252</v>
      </c>
      <c r="E28">
        <v>4.6297069727168098E-3</v>
      </c>
      <c r="F28">
        <v>0.24998980834603601</v>
      </c>
      <c r="G28">
        <v>388297.25</v>
      </c>
      <c r="H28">
        <v>1.33958092542767E-2</v>
      </c>
      <c r="I28" s="4"/>
    </row>
    <row r="29" spans="2:18" x14ac:dyDescent="0.25">
      <c r="B29" s="628"/>
      <c r="C29" s="657"/>
      <c r="D29" s="122" t="s">
        <v>277</v>
      </c>
      <c r="E29">
        <v>1.10715913947629E-3</v>
      </c>
      <c r="F29">
        <v>0.107796569831492</v>
      </c>
      <c r="G29">
        <v>774117.75</v>
      </c>
      <c r="H29">
        <v>1.31326640586226E-2</v>
      </c>
      <c r="I29" s="4" t="s">
        <v>381</v>
      </c>
    </row>
    <row r="30" spans="2:18" x14ac:dyDescent="0.25">
      <c r="B30" s="628"/>
      <c r="C30" s="657"/>
      <c r="D30" s="122" t="s">
        <v>325</v>
      </c>
      <c r="E30">
        <v>3.0421554196375499E-3</v>
      </c>
      <c r="F30">
        <v>0.26760925194814</v>
      </c>
      <c r="G30">
        <v>524093</v>
      </c>
      <c r="H30">
        <v>1.6130188170049499E-2</v>
      </c>
      <c r="I30" s="4"/>
    </row>
    <row r="31" spans="2:18" x14ac:dyDescent="0.25">
      <c r="B31" s="628"/>
      <c r="C31" s="657" t="s">
        <v>363</v>
      </c>
      <c r="D31" s="122" t="s">
        <v>375</v>
      </c>
      <c r="E31">
        <v>7.7977605922345799E-4</v>
      </c>
      <c r="F31">
        <v>4.8932939252608103E-2</v>
      </c>
      <c r="G31">
        <v>273528</v>
      </c>
      <c r="H31">
        <v>1.06067191723552E-2</v>
      </c>
      <c r="I31" s="4"/>
    </row>
    <row r="32" spans="2:18" x14ac:dyDescent="0.25">
      <c r="B32" s="628"/>
      <c r="C32" s="657"/>
      <c r="D32" s="122" t="s">
        <v>324</v>
      </c>
      <c r="E32">
        <v>1.8299923732693301E-3</v>
      </c>
      <c r="F32">
        <v>8.9443912927821903E-2</v>
      </c>
      <c r="G32">
        <v>563100.33333333302</v>
      </c>
      <c r="H32">
        <v>1.2712780335145E-2</v>
      </c>
      <c r="I32" s="4"/>
    </row>
    <row r="33" spans="2:9" x14ac:dyDescent="0.25">
      <c r="B33" s="730"/>
      <c r="C33" s="658"/>
      <c r="D33" s="139" t="s">
        <v>266</v>
      </c>
      <c r="E33" s="138">
        <v>6.3353882422400795E-4</v>
      </c>
      <c r="F33" s="162">
        <v>4.8370617599973798E-2</v>
      </c>
      <c r="G33" s="162">
        <v>382841</v>
      </c>
      <c r="H33" s="162">
        <v>8.7783036413280491E-3</v>
      </c>
      <c r="I33" s="165"/>
    </row>
    <row r="34" spans="2:9" x14ac:dyDescent="0.25">
      <c r="B34" s="831" t="s">
        <v>92</v>
      </c>
      <c r="C34" s="680" t="s">
        <v>231</v>
      </c>
      <c r="D34" s="133" t="s">
        <v>277</v>
      </c>
      <c r="E34">
        <v>4.1139679818909701E-3</v>
      </c>
      <c r="F34">
        <v>0.219494088593466</v>
      </c>
      <c r="G34">
        <v>494327.75</v>
      </c>
      <c r="H34">
        <v>1.6389392803989902E-2</v>
      </c>
      <c r="I34" s="4"/>
    </row>
    <row r="35" spans="2:9" x14ac:dyDescent="0.25">
      <c r="B35" s="628"/>
      <c r="C35" s="657"/>
      <c r="D35" s="132" t="s">
        <v>325</v>
      </c>
      <c r="E35">
        <v>3.9284353497750996E-3</v>
      </c>
      <c r="F35">
        <v>0.19906015192698401</v>
      </c>
      <c r="G35">
        <v>1147134.33333333</v>
      </c>
      <c r="H35">
        <v>1.45514744342302E-2</v>
      </c>
      <c r="I35" s="4"/>
    </row>
    <row r="36" spans="2:9" x14ac:dyDescent="0.25">
      <c r="B36" s="628"/>
      <c r="C36" s="696" t="s">
        <v>364</v>
      </c>
      <c r="D36" s="122" t="s">
        <v>240</v>
      </c>
      <c r="E36">
        <v>1.36205379015195E-3</v>
      </c>
      <c r="F36">
        <v>8.2515358069448805E-2</v>
      </c>
      <c r="G36">
        <v>750635</v>
      </c>
      <c r="H36">
        <v>1.0224819583983099E-2</v>
      </c>
      <c r="I36" s="4"/>
    </row>
    <row r="37" spans="2:9" x14ac:dyDescent="0.25">
      <c r="B37" s="628"/>
      <c r="C37" s="696"/>
      <c r="D37" s="122" t="s">
        <v>239</v>
      </c>
      <c r="E37">
        <v>6.8001134216954498E-4</v>
      </c>
      <c r="F37">
        <v>5.4728242082755403E-2</v>
      </c>
      <c r="G37">
        <v>178643.66666666701</v>
      </c>
      <c r="H37">
        <v>6.3798004480816401E-3</v>
      </c>
      <c r="I37" s="4"/>
    </row>
    <row r="38" spans="2:9" ht="15.75" thickBot="1" x14ac:dyDescent="0.3">
      <c r="B38" s="629"/>
      <c r="C38" s="639"/>
      <c r="D38" s="203" t="s">
        <v>277</v>
      </c>
      <c r="E38" s="6">
        <v>1.66505628619084E-3</v>
      </c>
      <c r="F38" s="6">
        <v>0.140317104341973</v>
      </c>
      <c r="G38" s="6">
        <v>942093.33333333302</v>
      </c>
      <c r="H38" s="6">
        <v>9.9772573471033493E-3</v>
      </c>
      <c r="I38" s="7"/>
    </row>
  </sheetData>
  <mergeCells count="33">
    <mergeCell ref="L8:L11"/>
    <mergeCell ref="L4:L7"/>
    <mergeCell ref="F1:F2"/>
    <mergeCell ref="C8:C11"/>
    <mergeCell ref="B8:B11"/>
    <mergeCell ref="C5:C7"/>
    <mergeCell ref="C3:C4"/>
    <mergeCell ref="B3:B7"/>
    <mergeCell ref="H1:H2"/>
    <mergeCell ref="I1:I2"/>
    <mergeCell ref="C34:C35"/>
    <mergeCell ref="C28:C30"/>
    <mergeCell ref="C25:C27"/>
    <mergeCell ref="B25:B27"/>
    <mergeCell ref="B34:B38"/>
    <mergeCell ref="C36:C38"/>
    <mergeCell ref="B28:B33"/>
    <mergeCell ref="C31:C33"/>
    <mergeCell ref="B12:B16"/>
    <mergeCell ref="C22:C24"/>
    <mergeCell ref="B21:B24"/>
    <mergeCell ref="G1:G2"/>
    <mergeCell ref="B17:B20"/>
    <mergeCell ref="C17:C20"/>
    <mergeCell ref="B1:B2"/>
    <mergeCell ref="D1:D2"/>
    <mergeCell ref="E1:E2"/>
    <mergeCell ref="C1:C2"/>
    <mergeCell ref="M15:M16"/>
    <mergeCell ref="M17:M18"/>
    <mergeCell ref="M19:M21"/>
    <mergeCell ref="L14:L21"/>
    <mergeCell ref="C13:C16"/>
  </mergeCells>
  <conditionalFormatting sqref="O15:R21">
    <cfRule type="cellIs" dxfId="34" priority="1" operator="lessThan">
      <formula>0.05</formula>
    </cfRule>
  </conditionalFormatting>
  <hyperlinks>
    <hyperlink ref="A1" location="'Table of Contents'!A1" display="Table of Contents" xr:uid="{303A86BD-3E1D-4125-A6A4-358BDB1723D3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4873-FAF7-4297-B67A-E7DD72EE9A4D}">
  <dimension ref="A1:AF74"/>
  <sheetViews>
    <sheetView workbookViewId="0">
      <selection activeCell="O9" sqref="O9"/>
    </sheetView>
  </sheetViews>
  <sheetFormatPr defaultRowHeight="15" x14ac:dyDescent="0.25"/>
  <cols>
    <col min="1" max="1" width="9.85546875" customWidth="1"/>
    <col min="2" max="2" width="10.140625" customWidth="1"/>
    <col min="4" max="4" width="6.42578125" customWidth="1"/>
    <col min="7" max="7" width="11.28515625" customWidth="1"/>
    <col min="8" max="8" width="9.28515625" customWidth="1"/>
    <col min="11" max="11" width="7.140625" customWidth="1"/>
    <col min="12" max="12" width="6.85546875" customWidth="1"/>
    <col min="13" max="13" width="6.7109375" customWidth="1"/>
    <col min="14" max="14" width="8" customWidth="1"/>
    <col min="15" max="15" width="7.7109375" customWidth="1"/>
    <col min="16" max="17" width="8" customWidth="1"/>
    <col min="18" max="18" width="7.140625" customWidth="1"/>
    <col min="20" max="20" width="11.42578125" customWidth="1"/>
    <col min="22" max="22" width="7.7109375" customWidth="1"/>
    <col min="25" max="25" width="7.140625" customWidth="1"/>
    <col min="26" max="26" width="7.7109375" customWidth="1"/>
    <col min="27" max="27" width="8.28515625" customWidth="1"/>
    <col min="28" max="28" width="7.7109375" customWidth="1"/>
    <col min="29" max="29" width="7.5703125" customWidth="1"/>
    <col min="30" max="30" width="7" customWidth="1"/>
    <col min="31" max="31" width="7.42578125" customWidth="1"/>
    <col min="32" max="32" width="7.7109375" customWidth="1"/>
  </cols>
  <sheetData>
    <row r="1" spans="1:32" ht="15.75" thickBot="1" x14ac:dyDescent="0.3">
      <c r="A1" s="38" t="s">
        <v>9</v>
      </c>
      <c r="B1" s="644" t="s">
        <v>10</v>
      </c>
      <c r="C1" s="704" t="s">
        <v>411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6"/>
      <c r="R1" s="37"/>
      <c r="S1" s="704" t="s">
        <v>436</v>
      </c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6"/>
    </row>
    <row r="2" spans="1:32" ht="15.75" thickBot="1" x14ac:dyDescent="0.3">
      <c r="B2" s="645"/>
      <c r="C2" s="704" t="s">
        <v>87</v>
      </c>
      <c r="D2" s="705"/>
      <c r="E2" s="705"/>
      <c r="F2" s="705"/>
      <c r="G2" s="705"/>
      <c r="H2" s="705"/>
      <c r="I2" s="705"/>
      <c r="J2" s="705"/>
      <c r="K2" s="704" t="s">
        <v>412</v>
      </c>
      <c r="L2" s="705"/>
      <c r="M2" s="705"/>
      <c r="N2" s="705"/>
      <c r="O2" s="705"/>
      <c r="P2" s="705"/>
      <c r="Q2" s="706"/>
      <c r="R2" s="37"/>
      <c r="S2" s="704"/>
      <c r="T2" s="705"/>
      <c r="U2" s="705"/>
      <c r="V2" s="705"/>
      <c r="W2" s="705"/>
      <c r="X2" s="705"/>
      <c r="Y2" s="705"/>
      <c r="Z2" s="704" t="s">
        <v>412</v>
      </c>
      <c r="AA2" s="705"/>
      <c r="AB2" s="705"/>
      <c r="AC2" s="705"/>
      <c r="AD2" s="705"/>
      <c r="AE2" s="705"/>
      <c r="AF2" s="706"/>
    </row>
    <row r="3" spans="1:32" ht="15.75" thickBot="1" x14ac:dyDescent="0.3">
      <c r="B3" s="648"/>
      <c r="C3" s="8" t="s">
        <v>54</v>
      </c>
      <c r="D3" s="8" t="s">
        <v>335</v>
      </c>
      <c r="E3" s="39" t="s">
        <v>336</v>
      </c>
      <c r="F3" s="39" t="s">
        <v>337</v>
      </c>
      <c r="G3" s="39" t="s">
        <v>338</v>
      </c>
      <c r="H3" s="39" t="s">
        <v>339</v>
      </c>
      <c r="I3" s="39" t="s">
        <v>340</v>
      </c>
      <c r="J3" s="196" t="s">
        <v>341</v>
      </c>
      <c r="K3" s="8" t="s">
        <v>335</v>
      </c>
      <c r="L3" s="39" t="s">
        <v>336</v>
      </c>
      <c r="M3" s="39" t="s">
        <v>337</v>
      </c>
      <c r="N3" s="39" t="s">
        <v>338</v>
      </c>
      <c r="O3" s="39" t="s">
        <v>339</v>
      </c>
      <c r="P3" s="39" t="s">
        <v>340</v>
      </c>
      <c r="Q3" s="196" t="s">
        <v>341</v>
      </c>
      <c r="R3" s="37"/>
      <c r="S3" s="43" t="s">
        <v>421</v>
      </c>
      <c r="T3" s="39" t="s">
        <v>422</v>
      </c>
      <c r="U3" s="39" t="s">
        <v>423</v>
      </c>
      <c r="V3" s="39" t="s">
        <v>424</v>
      </c>
      <c r="W3" s="39" t="s">
        <v>425</v>
      </c>
      <c r="X3" s="39" t="s">
        <v>426</v>
      </c>
      <c r="Y3" s="196" t="s">
        <v>435</v>
      </c>
      <c r="Z3" s="39" t="s">
        <v>421</v>
      </c>
      <c r="AA3" s="39" t="s">
        <v>422</v>
      </c>
      <c r="AB3" s="39" t="s">
        <v>423</v>
      </c>
      <c r="AC3" s="39" t="s">
        <v>424</v>
      </c>
      <c r="AD3" s="39" t="s">
        <v>425</v>
      </c>
      <c r="AE3" s="39" t="s">
        <v>426</v>
      </c>
      <c r="AF3" s="196" t="s">
        <v>435</v>
      </c>
    </row>
    <row r="4" spans="1:32" x14ac:dyDescent="0.25">
      <c r="B4" s="627" t="s">
        <v>92</v>
      </c>
      <c r="C4" s="403">
        <v>55</v>
      </c>
      <c r="D4" s="8">
        <v>0.11810389045806469</v>
      </c>
      <c r="E4" s="8">
        <v>2.5144319930841645E-2</v>
      </c>
      <c r="F4" s="8">
        <v>17.958460665527092</v>
      </c>
      <c r="G4" s="8">
        <v>5.8112082162701615E-3</v>
      </c>
      <c r="H4" s="8">
        <v>3.5195387798957749</v>
      </c>
      <c r="I4" s="8">
        <v>4.7455400543878028E-2</v>
      </c>
      <c r="J4" s="9">
        <v>9.754716733516583E-2</v>
      </c>
      <c r="K4" s="8">
        <f>LOG(D4/D$10,2)</f>
        <v>0.51013341347150287</v>
      </c>
      <c r="L4" s="8">
        <f t="shared" ref="K4:Q5" si="0">LOG(E4/E$10,2)</f>
        <v>0.6271791302600892</v>
      </c>
      <c r="M4" s="8">
        <f t="shared" si="0"/>
        <v>0.80578561906075841</v>
      </c>
      <c r="N4" s="8">
        <f t="shared" si="0"/>
        <v>-5.1588267951673443E-3</v>
      </c>
      <c r="O4" s="8">
        <f t="shared" si="0"/>
        <v>0.23208927976997443</v>
      </c>
      <c r="P4" s="8">
        <f t="shared" si="0"/>
        <v>1.0553835421412516</v>
      </c>
      <c r="Q4" s="9">
        <f t="shared" si="0"/>
        <v>0.59364554263006719</v>
      </c>
      <c r="S4" s="375">
        <v>0.11699594508328567</v>
      </c>
      <c r="T4" s="8">
        <v>5.5599184158587056E-3</v>
      </c>
      <c r="U4" s="8">
        <v>1.3602479884660545</v>
      </c>
      <c r="V4" s="8">
        <v>78.735372399606462</v>
      </c>
      <c r="W4" s="8">
        <v>0.10983192186633296</v>
      </c>
      <c r="X4" s="8">
        <v>3.0349983019448766E-2</v>
      </c>
      <c r="Y4" s="9">
        <v>9.8779319812254494E-3</v>
      </c>
      <c r="Z4" s="375">
        <f t="shared" ref="Z4:AF5" si="1">LOG(S4/S$10,2)</f>
        <v>1.9927864234474588</v>
      </c>
      <c r="AA4" s="8">
        <f t="shared" si="1"/>
        <v>2.0396948045412784</v>
      </c>
      <c r="AB4" s="8">
        <f t="shared" si="1"/>
        <v>0.89372499882870482</v>
      </c>
      <c r="AC4" s="8">
        <f t="shared" si="1"/>
        <v>2.1687775867240462</v>
      </c>
      <c r="AD4" s="8">
        <f t="shared" si="1"/>
        <v>1.7605873053965431</v>
      </c>
      <c r="AE4" s="8">
        <f t="shared" si="1"/>
        <v>1.8111620443304166</v>
      </c>
      <c r="AF4" s="9">
        <f t="shared" si="1"/>
        <v>2.0017966735631356</v>
      </c>
    </row>
    <row r="5" spans="1:32" x14ac:dyDescent="0.25">
      <c r="B5" s="628"/>
      <c r="C5" s="63">
        <v>53</v>
      </c>
      <c r="D5">
        <v>6.2457658937117869E-2</v>
      </c>
      <c r="E5">
        <v>8.0321196216546469E-3</v>
      </c>
      <c r="F5">
        <v>7.1836657957100085</v>
      </c>
      <c r="G5">
        <v>7.2788745986643744E-3</v>
      </c>
      <c r="H5">
        <v>3.5425625197158079</v>
      </c>
      <c r="I5">
        <v>3.4237740747111818E-3</v>
      </c>
      <c r="J5" s="4">
        <v>1.3506088649614926E-2</v>
      </c>
      <c r="K5">
        <f t="shared" si="0"/>
        <v>-0.4089726760232717</v>
      </c>
      <c r="L5">
        <f t="shared" si="0"/>
        <v>-1.0192007431506624</v>
      </c>
      <c r="M5">
        <f t="shared" si="0"/>
        <v>-0.51608593517133794</v>
      </c>
      <c r="N5">
        <f t="shared" si="0"/>
        <v>0.31971843538932054</v>
      </c>
      <c r="O5">
        <f t="shared" si="0"/>
        <v>0.24149621165481175</v>
      </c>
      <c r="P5">
        <f t="shared" si="0"/>
        <v>-2.7375293261942724</v>
      </c>
      <c r="Q5" s="4">
        <f t="shared" si="0"/>
        <v>-2.258844504457612</v>
      </c>
      <c r="S5" s="80">
        <v>5.2572570635379598E-4</v>
      </c>
      <c r="T5">
        <v>1.284982390956845E-4</v>
      </c>
      <c r="U5">
        <v>0.13817692826831898</v>
      </c>
      <c r="V5">
        <v>0.28603723639964473</v>
      </c>
      <c r="W5">
        <v>1.0036205998652703E-3</v>
      </c>
      <c r="X5">
        <v>3.5613507156237856E-5</v>
      </c>
      <c r="Y5" s="4">
        <v>1.4897174376734168E-4</v>
      </c>
      <c r="Z5" s="80">
        <f t="shared" si="1"/>
        <v>-5.8051461101463948</v>
      </c>
      <c r="AA5">
        <f t="shared" si="1"/>
        <v>-3.3955484146275206</v>
      </c>
      <c r="AB5">
        <f t="shared" si="1"/>
        <v>-2.4055560454026064</v>
      </c>
      <c r="AC5">
        <f t="shared" si="1"/>
        <v>-5.9358875553075068</v>
      </c>
      <c r="AD5">
        <f t="shared" si="1"/>
        <v>-5.0133523204390746</v>
      </c>
      <c r="AE5">
        <f t="shared" si="1"/>
        <v>-7.9238934328423278</v>
      </c>
      <c r="AF5" s="4">
        <f t="shared" si="1"/>
        <v>-4.0493017424861053</v>
      </c>
    </row>
    <row r="6" spans="1:32" x14ac:dyDescent="0.25">
      <c r="B6" s="628"/>
      <c r="C6" s="63">
        <v>60</v>
      </c>
      <c r="J6" s="4"/>
      <c r="Q6" s="4"/>
      <c r="S6" s="80"/>
      <c r="T6">
        <v>8.3732404535169567E-5</v>
      </c>
      <c r="U6">
        <v>0.10963229122139748</v>
      </c>
      <c r="V6">
        <v>0.39394387563406902</v>
      </c>
      <c r="W6">
        <v>1.0801913489012281E-3</v>
      </c>
      <c r="Y6" s="4">
        <v>9.9746253850381555E-5</v>
      </c>
      <c r="Z6" s="80"/>
      <c r="AA6">
        <f t="shared" ref="AA6:AD9" si="2">LOG(T6/T$10,2)</f>
        <v>-4.0134390433251816</v>
      </c>
      <c r="AB6">
        <f t="shared" si="2"/>
        <v>-2.7393999970506151</v>
      </c>
      <c r="AC6">
        <f t="shared" si="2"/>
        <v>-5.4741004183866346</v>
      </c>
      <c r="AD6">
        <f t="shared" si="2"/>
        <v>-4.9072794096030092</v>
      </c>
      <c r="AF6" s="4">
        <f>LOG(Y6/Y$10,2)</f>
        <v>-4.6280058913108562</v>
      </c>
    </row>
    <row r="7" spans="1:32" x14ac:dyDescent="0.25">
      <c r="B7" s="628"/>
      <c r="C7" s="63">
        <v>54</v>
      </c>
      <c r="D7">
        <v>7.2560130222977456E-2</v>
      </c>
      <c r="E7">
        <v>2.0874343286072933E-2</v>
      </c>
      <c r="F7">
        <v>7.5689726218250826</v>
      </c>
      <c r="G7">
        <v>4.8770563328566097E-3</v>
      </c>
      <c r="H7">
        <v>2.3984958189448493</v>
      </c>
      <c r="I7">
        <v>3.764873673199335E-2</v>
      </c>
      <c r="J7" s="4">
        <v>0.13941217986595658</v>
      </c>
      <c r="K7">
        <f t="shared" ref="K7:Q8" si="3">LOG(D7/D$10,2)</f>
        <v>-0.1926741256644019</v>
      </c>
      <c r="L7">
        <f t="shared" si="3"/>
        <v>0.35867740698184181</v>
      </c>
      <c r="M7">
        <f t="shared" si="3"/>
        <v>-0.44070868000221031</v>
      </c>
      <c r="N7">
        <f t="shared" si="3"/>
        <v>-0.25798633787307845</v>
      </c>
      <c r="O7">
        <f t="shared" si="3"/>
        <v>-0.32116717799110917</v>
      </c>
      <c r="P7">
        <f t="shared" si="3"/>
        <v>0.72141272066160544</v>
      </c>
      <c r="Q7" s="4">
        <f t="shared" si="3"/>
        <v>1.1088302674028632</v>
      </c>
      <c r="S7" s="80">
        <v>5.5483017468878527E-5</v>
      </c>
      <c r="T7">
        <v>1.8946613258378537E-4</v>
      </c>
      <c r="U7">
        <v>1.7328762072131215E-2</v>
      </c>
      <c r="V7">
        <v>0.23729901445364812</v>
      </c>
      <c r="W7">
        <v>2.7499836817161862E-3</v>
      </c>
      <c r="X7">
        <v>8.6301762860366998E-5</v>
      </c>
      <c r="Y7" s="4">
        <v>9.9309251501773123E-5</v>
      </c>
      <c r="Z7" s="80">
        <f>LOG(S7/S$10,2)</f>
        <v>-9.0493382335594799</v>
      </c>
      <c r="AA7">
        <f t="shared" si="2"/>
        <v>-2.8353570168118791</v>
      </c>
      <c r="AB7">
        <f t="shared" si="2"/>
        <v>-5.4008322906052184</v>
      </c>
      <c r="AC7">
        <f t="shared" si="2"/>
        <v>-6.2053844161744065</v>
      </c>
      <c r="AD7">
        <f t="shared" si="2"/>
        <v>-3.5591432509396324</v>
      </c>
      <c r="AE7">
        <f>LOG(X7/X$10,2)</f>
        <v>-6.6469279204310654</v>
      </c>
      <c r="AF7" s="4">
        <f>LOG(Y7/Y$10,2)</f>
        <v>-4.6343404273284117</v>
      </c>
    </row>
    <row r="8" spans="1:32" x14ac:dyDescent="0.25">
      <c r="B8" s="628"/>
      <c r="C8" s="63">
        <v>62</v>
      </c>
      <c r="D8">
        <v>7.8588451529255712E-2</v>
      </c>
      <c r="E8">
        <v>1.1067082363416619E-2</v>
      </c>
      <c r="F8">
        <v>8.3814854931185323</v>
      </c>
      <c r="G8">
        <v>5.3609619884892592E-3</v>
      </c>
      <c r="H8">
        <v>2.5255584818226833</v>
      </c>
      <c r="I8">
        <v>2.8084132715720184E-3</v>
      </c>
      <c r="J8" s="4">
        <v>8.0994458669230857E-3</v>
      </c>
      <c r="K8">
        <f t="shared" si="3"/>
        <v>-7.7533844825155948E-2</v>
      </c>
      <c r="L8">
        <f t="shared" si="3"/>
        <v>-0.55677847191456042</v>
      </c>
      <c r="M8">
        <f t="shared" si="3"/>
        <v>-0.29360020585564855</v>
      </c>
      <c r="N8">
        <f t="shared" si="3"/>
        <v>-0.12150506850299725</v>
      </c>
      <c r="O8">
        <f t="shared" si="3"/>
        <v>-0.24669465343153196</v>
      </c>
      <c r="P8">
        <f t="shared" si="3"/>
        <v>-3.0233615808526673</v>
      </c>
      <c r="Q8" s="4">
        <f t="shared" si="3"/>
        <v>-2.9965593236850654</v>
      </c>
      <c r="S8" s="80">
        <v>5.2441514355288364E-6</v>
      </c>
      <c r="T8">
        <v>1.0208650763432059E-4</v>
      </c>
      <c r="U8">
        <v>0.18544116558953447</v>
      </c>
      <c r="V8">
        <v>0.25280958835743683</v>
      </c>
      <c r="W8">
        <v>9.8769475779961593E-4</v>
      </c>
      <c r="X8">
        <v>2.7198755829754781E-5</v>
      </c>
      <c r="Y8" s="4">
        <v>8.7560500450716168E-5</v>
      </c>
      <c r="Z8" s="80">
        <f>LOG(S8/S$10,2)</f>
        <v>-12.452603232949127</v>
      </c>
      <c r="AA8">
        <f t="shared" si="2"/>
        <v>-3.7275048003106415</v>
      </c>
      <c r="AB8">
        <f t="shared" si="2"/>
        <v>-1.9811112514632925</v>
      </c>
      <c r="AC8">
        <f t="shared" si="2"/>
        <v>-6.1140393430190292</v>
      </c>
      <c r="AD8">
        <f t="shared" si="2"/>
        <v>-5.036429150706037</v>
      </c>
      <c r="AE8">
        <f>LOG(X8/X$10,2)</f>
        <v>-8.3127772907831083</v>
      </c>
      <c r="AF8" s="4">
        <f>LOG(Y8/Y$10,2)</f>
        <v>-4.815988350417121</v>
      </c>
    </row>
    <row r="9" spans="1:32" ht="15.75" thickBot="1" x14ac:dyDescent="0.3">
      <c r="B9" s="628"/>
      <c r="C9" s="64">
        <v>61</v>
      </c>
      <c r="D9" s="3"/>
      <c r="E9" s="3"/>
      <c r="F9" s="3"/>
      <c r="G9" s="3"/>
      <c r="H9" s="3"/>
      <c r="I9" s="3"/>
      <c r="J9" s="5"/>
      <c r="K9" s="3"/>
      <c r="L9" s="3"/>
      <c r="M9" s="3"/>
      <c r="N9" s="3"/>
      <c r="O9" s="3"/>
      <c r="P9" s="3"/>
      <c r="Q9" s="5"/>
      <c r="S9" s="542"/>
      <c r="T9" s="3">
        <v>2.0498377320644617E-3</v>
      </c>
      <c r="U9" s="3">
        <v>2.5818704988260377</v>
      </c>
      <c r="V9" s="3">
        <v>25.158561482065465</v>
      </c>
      <c r="W9" s="3">
        <v>7.88334387269429E-2</v>
      </c>
      <c r="X9" s="3">
        <v>1.2743757455912039E-2</v>
      </c>
      <c r="Y9" s="5">
        <v>4.484937365760739E-3</v>
      </c>
      <c r="Z9" s="81"/>
      <c r="AA9" s="6">
        <f t="shared" si="2"/>
        <v>0.60014079955322452</v>
      </c>
      <c r="AB9" s="6">
        <f t="shared" si="2"/>
        <v>1.8182719438080215</v>
      </c>
      <c r="AC9" s="6">
        <f t="shared" si="2"/>
        <v>0.52281509889381017</v>
      </c>
      <c r="AD9" s="6">
        <f t="shared" si="2"/>
        <v>1.2821694926676488</v>
      </c>
      <c r="AE9" s="6">
        <f>LOG(X9/X$10,2)</f>
        <v>0.55925704933540732</v>
      </c>
      <c r="AF9" s="7">
        <f>LOG(Y9/Y$10,2)</f>
        <v>0.86267547649050424</v>
      </c>
    </row>
    <row r="10" spans="1:32" ht="15.75" thickTop="1" x14ac:dyDescent="0.25">
      <c r="B10" s="628"/>
      <c r="C10" s="134" t="s">
        <v>408</v>
      </c>
      <c r="D10" s="162">
        <f t="shared" ref="D10:Q10" si="4">AVERAGE(D4:D9)</f>
        <v>8.2927532786853927E-2</v>
      </c>
      <c r="E10" s="162">
        <f t="shared" si="4"/>
        <v>1.627946630049646E-2</v>
      </c>
      <c r="F10" s="162">
        <f t="shared" si="4"/>
        <v>10.273146144045178</v>
      </c>
      <c r="G10" s="162">
        <f t="shared" si="4"/>
        <v>5.8320252840701019E-3</v>
      </c>
      <c r="H10" s="162">
        <f t="shared" si="4"/>
        <v>2.9965389000947789</v>
      </c>
      <c r="I10" s="162">
        <f t="shared" si="4"/>
        <v>2.2834081155538644E-2</v>
      </c>
      <c r="J10" s="165">
        <f t="shared" si="4"/>
        <v>6.46412204294151E-2</v>
      </c>
      <c r="K10" s="162">
        <f t="shared" si="4"/>
        <v>-4.2261808260331671E-2</v>
      </c>
      <c r="L10" s="162">
        <f t="shared" si="4"/>
        <v>-0.14753066945582297</v>
      </c>
      <c r="M10" s="162">
        <f t="shared" si="4"/>
        <v>-0.1111523004921096</v>
      </c>
      <c r="N10" s="162">
        <f t="shared" si="4"/>
        <v>-1.6232949445480621E-2</v>
      </c>
      <c r="O10" s="162">
        <f t="shared" si="4"/>
        <v>-2.3569084999463738E-2</v>
      </c>
      <c r="P10" s="162">
        <f t="shared" si="4"/>
        <v>-0.99602366106102069</v>
      </c>
      <c r="Q10" s="165">
        <f t="shared" si="4"/>
        <v>-0.88823200452743678</v>
      </c>
      <c r="S10" s="257">
        <f t="shared" ref="S10:AF10" si="5">AVERAGE(S4:S9)</f>
        <v>2.9395599489635972E-2</v>
      </c>
      <c r="T10" s="162">
        <f t="shared" si="5"/>
        <v>1.3522565719620214E-3</v>
      </c>
      <c r="U10" s="162">
        <f t="shared" si="5"/>
        <v>0.73211627240724564</v>
      </c>
      <c r="V10" s="162">
        <f t="shared" si="5"/>
        <v>17.510670599419456</v>
      </c>
      <c r="W10" s="162">
        <f t="shared" si="5"/>
        <v>3.2414475163593026E-2</v>
      </c>
      <c r="X10" s="162">
        <f t="shared" si="5"/>
        <v>8.648570900241433E-3</v>
      </c>
      <c r="Y10" s="165">
        <f t="shared" si="5"/>
        <v>2.4664095160927334E-3</v>
      </c>
      <c r="Z10" s="259">
        <f t="shared" si="5"/>
        <v>-6.3285752883018853</v>
      </c>
      <c r="AA10" s="162">
        <f t="shared" si="5"/>
        <v>-1.8886689451634533</v>
      </c>
      <c r="AB10" s="162">
        <f t="shared" si="5"/>
        <v>-1.6358171069808343</v>
      </c>
      <c r="AC10" s="162">
        <f t="shared" si="5"/>
        <v>-3.5063031745449535</v>
      </c>
      <c r="AD10" s="162">
        <f t="shared" si="5"/>
        <v>-2.5789078889372603</v>
      </c>
      <c r="AE10" s="162">
        <f t="shared" si="5"/>
        <v>-4.1026359100781349</v>
      </c>
      <c r="AF10" s="165">
        <f t="shared" si="5"/>
        <v>-2.5438607102481421</v>
      </c>
    </row>
    <row r="11" spans="1:32" x14ac:dyDescent="0.25">
      <c r="B11" s="628"/>
      <c r="C11" s="132" t="s">
        <v>449</v>
      </c>
      <c r="D11" s="271"/>
      <c r="E11" s="271"/>
      <c r="F11" s="271"/>
      <c r="G11" s="271"/>
      <c r="H11" s="271"/>
      <c r="I11" s="271"/>
      <c r="J11" s="384"/>
      <c r="K11">
        <f t="shared" ref="K11:Q11" si="6">K10+2*STDEV(K4:K9)</f>
        <v>0.74385550556155522</v>
      </c>
      <c r="L11">
        <f t="shared" si="6"/>
        <v>1.394638526457977</v>
      </c>
      <c r="M11">
        <f t="shared" si="6"/>
        <v>1.1253163497403826</v>
      </c>
      <c r="N11">
        <f t="shared" si="6"/>
        <v>0.47707275567995822</v>
      </c>
      <c r="O11">
        <f t="shared" si="6"/>
        <v>0.58082643142710022</v>
      </c>
      <c r="P11">
        <f t="shared" si="6"/>
        <v>3.3706379564420659</v>
      </c>
      <c r="Q11" s="4">
        <f t="shared" si="6"/>
        <v>3.1955312097000457</v>
      </c>
      <c r="S11" s="496"/>
      <c r="T11" s="271"/>
      <c r="U11" s="271"/>
      <c r="V11" s="271"/>
      <c r="W11" s="271"/>
      <c r="X11" s="271"/>
      <c r="Y11" s="384"/>
      <c r="Z11">
        <f>Z10+2*STDEV(Z4:Z9)</f>
        <v>6.0232293363090266</v>
      </c>
      <c r="AA11">
        <f t="shared" ref="AA11:AF11" si="7">AA10+2*STDEV(AA4:AA9)</f>
        <v>3.2251621046935304</v>
      </c>
      <c r="AB11">
        <f t="shared" si="7"/>
        <v>3.6127465093665014</v>
      </c>
      <c r="AC11">
        <f t="shared" si="7"/>
        <v>4.0989986307844744</v>
      </c>
      <c r="AD11">
        <f t="shared" si="7"/>
        <v>3.8763066130708794</v>
      </c>
      <c r="AE11">
        <f t="shared" si="7"/>
        <v>5.6701310238740099</v>
      </c>
      <c r="AF11" s="4">
        <f t="shared" si="7"/>
        <v>3.6793328840790909</v>
      </c>
    </row>
    <row r="12" spans="1:32" ht="15.75" thickBot="1" x14ac:dyDescent="0.3">
      <c r="B12" s="629"/>
      <c r="C12" s="203" t="s">
        <v>450</v>
      </c>
      <c r="D12" s="276"/>
      <c r="E12" s="276"/>
      <c r="F12" s="276"/>
      <c r="G12" s="276"/>
      <c r="H12" s="276"/>
      <c r="I12" s="276"/>
      <c r="J12" s="425"/>
      <c r="K12" s="6">
        <f>K10-2*STDEV(K4:K9)</f>
        <v>-0.82837912208221853</v>
      </c>
      <c r="L12" s="6">
        <f t="shared" ref="L12:Q12" si="8">L10-2*STDEV(L4:L9)</f>
        <v>-1.6896998653696229</v>
      </c>
      <c r="M12" s="6">
        <f t="shared" si="8"/>
        <v>-1.3476209507246018</v>
      </c>
      <c r="N12" s="6">
        <f t="shared" si="8"/>
        <v>-0.5095386545709194</v>
      </c>
      <c r="O12" s="6">
        <f t="shared" si="8"/>
        <v>-0.62796460142602772</v>
      </c>
      <c r="P12" s="6">
        <f t="shared" si="8"/>
        <v>-5.3626852785641077</v>
      </c>
      <c r="Q12" s="7">
        <f t="shared" si="8"/>
        <v>-4.9719952187549188</v>
      </c>
      <c r="S12" s="496"/>
      <c r="T12" s="271"/>
      <c r="U12" s="271"/>
      <c r="V12" s="271"/>
      <c r="W12" s="271"/>
      <c r="X12" s="271"/>
      <c r="Y12" s="384"/>
      <c r="Z12">
        <f>Z10-2*STDEV(Z4:Z9)</f>
        <v>-18.680379912912798</v>
      </c>
      <c r="AA12">
        <f t="shared" ref="AA12:AF12" si="9">AA10-2*STDEV(AA4:AA9)</f>
        <v>-7.002499995020437</v>
      </c>
      <c r="AB12">
        <f t="shared" si="9"/>
        <v>-6.88438072332817</v>
      </c>
      <c r="AC12">
        <f t="shared" si="9"/>
        <v>-11.111604979874382</v>
      </c>
      <c r="AD12">
        <f t="shared" si="9"/>
        <v>-9.0341223909454005</v>
      </c>
      <c r="AE12">
        <f t="shared" si="9"/>
        <v>-13.87540284403028</v>
      </c>
      <c r="AF12" s="4">
        <f t="shared" si="9"/>
        <v>-8.7670543045753746</v>
      </c>
    </row>
    <row r="13" spans="1:32" x14ac:dyDescent="0.25">
      <c r="B13" s="627" t="s">
        <v>143</v>
      </c>
      <c r="C13" s="403">
        <v>1</v>
      </c>
      <c r="D13" s="455"/>
      <c r="E13" s="455"/>
      <c r="F13" s="455"/>
      <c r="G13" s="455"/>
      <c r="H13" s="455"/>
      <c r="I13" s="455"/>
      <c r="J13" s="462"/>
      <c r="K13" s="8"/>
      <c r="L13" s="8"/>
      <c r="M13" s="8"/>
      <c r="N13" s="8"/>
      <c r="O13" s="8"/>
      <c r="P13" s="8"/>
      <c r="Q13" s="9"/>
      <c r="S13" s="469">
        <v>8.6793292736407016E-4</v>
      </c>
      <c r="T13" s="455">
        <v>6.4978407082742105E-3</v>
      </c>
      <c r="U13" s="455">
        <v>0.40056099513624244</v>
      </c>
      <c r="V13" s="455">
        <v>6.0631700380536442</v>
      </c>
      <c r="W13" s="455">
        <v>1.2839885802653907E-2</v>
      </c>
      <c r="X13" s="455">
        <v>1.582798960908802E-2</v>
      </c>
      <c r="Y13" s="462">
        <v>1.6967290294579444E-2</v>
      </c>
      <c r="Z13" s="375">
        <f t="shared" ref="Z13:AF14" si="10">LOG(S13/S$10,2)</f>
        <v>-5.0818728325527553</v>
      </c>
      <c r="AA13" s="8">
        <f t="shared" si="10"/>
        <v>2.2645914680612385</v>
      </c>
      <c r="AB13" s="8">
        <f t="shared" si="10"/>
        <v>-0.87005084629408957</v>
      </c>
      <c r="AC13" s="8">
        <f t="shared" si="10"/>
        <v>-1.5300901475102551</v>
      </c>
      <c r="AD13" s="8">
        <f t="shared" si="10"/>
        <v>-1.3360058425704091</v>
      </c>
      <c r="AE13" s="8">
        <f t="shared" si="10"/>
        <v>0.87194435833369011</v>
      </c>
      <c r="AF13" s="9">
        <f t="shared" si="10"/>
        <v>2.7822719163996892</v>
      </c>
    </row>
    <row r="14" spans="1:32" x14ac:dyDescent="0.25">
      <c r="B14" s="628"/>
      <c r="C14" s="63">
        <v>2</v>
      </c>
      <c r="D14" s="456">
        <v>3.2027073670028508E-3</v>
      </c>
      <c r="E14" s="456">
        <v>8.5635445982650351E-4</v>
      </c>
      <c r="F14" s="456">
        <v>3.7611805312302519E-3</v>
      </c>
      <c r="G14" s="456">
        <v>3.6617871134809098E-2</v>
      </c>
      <c r="H14" s="456">
        <v>1.3802512645575245E-4</v>
      </c>
      <c r="I14" s="456">
        <v>3.8825349998339721E-3</v>
      </c>
      <c r="J14" s="464">
        <v>2.906405944329987</v>
      </c>
      <c r="K14">
        <f>LOG(D14/D$10,2)</f>
        <v>-4.6944872812550758</v>
      </c>
      <c r="L14">
        <f t="shared" ref="L14:Q14" si="11">LOG(E14/E$10,2)</f>
        <v>-4.2487015169018729</v>
      </c>
      <c r="M14">
        <f t="shared" si="11"/>
        <v>-11.415404897934939</v>
      </c>
      <c r="N14">
        <f t="shared" si="11"/>
        <v>2.650479039709948</v>
      </c>
      <c r="O14">
        <f t="shared" si="11"/>
        <v>-14.406078559280145</v>
      </c>
      <c r="P14">
        <f t="shared" si="11"/>
        <v>-2.5561179015437605</v>
      </c>
      <c r="Q14" s="4">
        <f t="shared" si="11"/>
        <v>5.4906379748173766</v>
      </c>
      <c r="S14" s="470">
        <v>1.0254842579108157E-3</v>
      </c>
      <c r="T14" s="456">
        <v>9.5789995846539862E-3</v>
      </c>
      <c r="U14" s="456">
        <v>0.16506302601869882</v>
      </c>
      <c r="V14" s="456">
        <v>6.3283511096219858</v>
      </c>
      <c r="W14" s="456">
        <v>1.6824442236609002E-2</v>
      </c>
      <c r="X14" s="456">
        <v>8.7471609261265317E-3</v>
      </c>
      <c r="Y14" s="464">
        <v>1.0655248267311653E-2</v>
      </c>
      <c r="Z14" s="80">
        <f t="shared" si="10"/>
        <v>-4.8412229498545889</v>
      </c>
      <c r="AA14">
        <f t="shared" si="10"/>
        <v>2.8245060820727179</v>
      </c>
      <c r="AB14">
        <f t="shared" si="10"/>
        <v>-2.1490557970574429</v>
      </c>
      <c r="AC14">
        <f t="shared" si="10"/>
        <v>-1.468332784406146</v>
      </c>
      <c r="AD14">
        <f t="shared" si="10"/>
        <v>-0.94607953637841014</v>
      </c>
      <c r="AE14">
        <f t="shared" si="10"/>
        <v>1.6353076232559431E-2</v>
      </c>
      <c r="AF14" s="4">
        <f t="shared" si="10"/>
        <v>2.1110799423112003</v>
      </c>
    </row>
    <row r="15" spans="1:32" x14ac:dyDescent="0.25">
      <c r="B15" s="628"/>
      <c r="C15" s="63">
        <v>3</v>
      </c>
      <c r="D15" s="456"/>
      <c r="E15" s="456"/>
      <c r="F15" s="456"/>
      <c r="G15" s="456"/>
      <c r="H15" s="456"/>
      <c r="I15" s="456"/>
      <c r="J15" s="464"/>
      <c r="Q15" s="4"/>
      <c r="S15" s="470"/>
      <c r="T15" s="456"/>
      <c r="U15" s="456"/>
      <c r="V15" s="456"/>
      <c r="W15" s="456"/>
      <c r="X15" s="456"/>
      <c r="Y15" s="464"/>
      <c r="Z15" s="80"/>
      <c r="AF15" s="4"/>
    </row>
    <row r="16" spans="1:32" x14ac:dyDescent="0.25">
      <c r="B16" s="628"/>
      <c r="C16" s="63">
        <v>4</v>
      </c>
      <c r="D16" s="456">
        <v>4.8912681826186549E-2</v>
      </c>
      <c r="E16" s="456">
        <v>8.5591385193537872E-4</v>
      </c>
      <c r="F16" s="456"/>
      <c r="G16" s="456">
        <v>6.4031005414661394E-3</v>
      </c>
      <c r="H16" s="456">
        <v>7.8205463988804111E-2</v>
      </c>
      <c r="I16" s="456">
        <v>1.5185268992255223</v>
      </c>
      <c r="J16" s="464">
        <v>0.25103776975255676</v>
      </c>
      <c r="K16">
        <f t="shared" ref="K16:K29" si="12">LOG(D16/D$10,2)</f>
        <v>-0.76164260256727268</v>
      </c>
      <c r="L16">
        <f t="shared" ref="L16:L29" si="13">LOG(E16/E$10,2)</f>
        <v>-4.2494439973054003</v>
      </c>
      <c r="N16">
        <f t="shared" ref="N16:N29" si="14">LOG(G16/G$10,2)</f>
        <v>0.13477368901890641</v>
      </c>
      <c r="O16">
        <f t="shared" ref="O16:O29" si="15">LOG(H16/H$10,2)</f>
        <v>-5.2598838844335329</v>
      </c>
      <c r="P16">
        <f t="shared" ref="P16:P29" si="16">LOG(I16/I$10,2)</f>
        <v>6.0553399176740283</v>
      </c>
      <c r="Q16" s="4">
        <f t="shared" ref="Q16:Q29" si="17">LOG(J16/J$10,2)</f>
        <v>1.9573780987998435</v>
      </c>
      <c r="S16" s="470">
        <v>1.6751766775366855E-2</v>
      </c>
      <c r="T16" s="456">
        <v>1.1914371540286475E-2</v>
      </c>
      <c r="U16" s="456">
        <v>6.197823591409389E-2</v>
      </c>
      <c r="V16" s="456">
        <v>1.5306225675236738</v>
      </c>
      <c r="W16" s="456">
        <v>2.0071310235095487E-2</v>
      </c>
      <c r="X16" s="456">
        <v>5.7987986020894991E-5</v>
      </c>
      <c r="Y16" s="464">
        <v>1.242183330325259E-2</v>
      </c>
      <c r="Z16" s="80">
        <f t="shared" ref="Z16:AA20" si="18">LOG(S16/S$10,2)</f>
        <v>-0.81128693855382483</v>
      </c>
      <c r="AA16">
        <f t="shared" si="18"/>
        <v>3.1392620400896991</v>
      </c>
      <c r="AC16">
        <f>LOG(V16/V$10,2)</f>
        <v>-3.5160438540043026</v>
      </c>
      <c r="AD16">
        <f>LOG(W16/W$10,2)</f>
        <v>-0.69150341635856816</v>
      </c>
      <c r="AE16">
        <f>LOG(X16/X$10,2)</f>
        <v>-7.2205639166978637</v>
      </c>
      <c r="AF16" s="4">
        <f>LOG(Y16/Y$10,2)</f>
        <v>2.3323938465548104</v>
      </c>
    </row>
    <row r="17" spans="2:32" x14ac:dyDescent="0.25">
      <c r="B17" s="628"/>
      <c r="C17" s="63">
        <v>5</v>
      </c>
      <c r="D17" s="456">
        <v>3.077112790578776E-2</v>
      </c>
      <c r="E17" s="456">
        <v>1.5188591943960158E-3</v>
      </c>
      <c r="F17" s="456">
        <v>3.6926081838612057</v>
      </c>
      <c r="G17" s="456">
        <v>7.3722858207584917E-3</v>
      </c>
      <c r="H17" s="456">
        <v>6.6787295113199932E-2</v>
      </c>
      <c r="I17" s="456">
        <v>2.002243548986399</v>
      </c>
      <c r="J17" s="464">
        <v>0.85946036538284465</v>
      </c>
      <c r="K17">
        <f t="shared" si="12"/>
        <v>-1.4302738445613059</v>
      </c>
      <c r="L17">
        <f t="shared" si="13"/>
        <v>-3.421993367309379</v>
      </c>
      <c r="M17">
        <f t="shared" ref="M17:M29" si="19">LOG(F17/F$10,2)</f>
        <v>-1.476165979750732</v>
      </c>
      <c r="N17">
        <f t="shared" si="14"/>
        <v>0.3381150304833303</v>
      </c>
      <c r="O17">
        <f t="shared" si="15"/>
        <v>-5.4875796061775954</v>
      </c>
      <c r="P17">
        <f t="shared" si="16"/>
        <v>6.4542849244530673</v>
      </c>
      <c r="Q17" s="4">
        <f t="shared" si="17"/>
        <v>3.7329047687316614</v>
      </c>
      <c r="S17" s="470">
        <v>9.0007939109012121E-3</v>
      </c>
      <c r="T17" s="456">
        <v>2.5170561590869634E-3</v>
      </c>
      <c r="U17" s="456">
        <v>0.11532303066236382</v>
      </c>
      <c r="V17" s="456">
        <v>2.1537409147701227</v>
      </c>
      <c r="W17" s="456">
        <v>2.939128522540501E-2</v>
      </c>
      <c r="X17" s="456">
        <v>2.6429855847262464E-4</v>
      </c>
      <c r="Y17" s="464"/>
      <c r="Z17" s="80">
        <f t="shared" si="18"/>
        <v>-1.7074760358895564</v>
      </c>
      <c r="AA17">
        <f t="shared" si="18"/>
        <v>0.89636849642604655</v>
      </c>
      <c r="AB17">
        <f t="shared" ref="AB17:AE20" si="20">LOG(U17/U$10,2)</f>
        <v>-2.6663921348683721</v>
      </c>
      <c r="AC17">
        <f t="shared" si="20"/>
        <v>-3.0233177193815877</v>
      </c>
      <c r="AD17">
        <f t="shared" si="20"/>
        <v>-0.14124976712662202</v>
      </c>
      <c r="AE17">
        <f t="shared" si="20"/>
        <v>-5.0322212984429138</v>
      </c>
      <c r="AF17" s="4"/>
    </row>
    <row r="18" spans="2:32" x14ac:dyDescent="0.25">
      <c r="B18" s="628"/>
      <c r="C18" s="63">
        <v>6</v>
      </c>
      <c r="D18" s="456"/>
      <c r="E18" s="456">
        <v>1.51901770692725E-2</v>
      </c>
      <c r="F18" s="456">
        <v>0.17337295614302017</v>
      </c>
      <c r="G18" s="456">
        <v>1.4437710320255754E-2</v>
      </c>
      <c r="H18" s="456">
        <v>3.9190119320882868E-3</v>
      </c>
      <c r="I18" s="456">
        <v>8.5904679217718827E-2</v>
      </c>
      <c r="J18" s="464">
        <v>42.026246897516145</v>
      </c>
      <c r="L18">
        <f t="shared" si="13"/>
        <v>-9.9914716457857378E-2</v>
      </c>
      <c r="M18">
        <f t="shared" si="19"/>
        <v>-5.8888553884539929</v>
      </c>
      <c r="N18">
        <f t="shared" si="14"/>
        <v>1.3077730836046397</v>
      </c>
      <c r="O18">
        <f t="shared" si="15"/>
        <v>-9.5785914218169328</v>
      </c>
      <c r="P18">
        <f t="shared" si="16"/>
        <v>1.9115479801619053</v>
      </c>
      <c r="Q18" s="4">
        <f t="shared" si="17"/>
        <v>9.3446204722915862</v>
      </c>
      <c r="S18" s="470">
        <v>1.794290076339751E-2</v>
      </c>
      <c r="T18" s="456">
        <v>1.4258273418805343E-2</v>
      </c>
      <c r="U18" s="456">
        <v>0.19214187656812681</v>
      </c>
      <c r="V18" s="456">
        <v>7.2507620911835318</v>
      </c>
      <c r="W18" s="456">
        <v>4.428568560903804E-2</v>
      </c>
      <c r="X18" s="456">
        <v>1.5880140048315811E-2</v>
      </c>
      <c r="Y18" s="464">
        <v>1.9638664319386514E-2</v>
      </c>
      <c r="Z18" s="80">
        <f t="shared" si="18"/>
        <v>-0.71218705594810183</v>
      </c>
      <c r="AA18">
        <f t="shared" si="18"/>
        <v>3.3983584775601674</v>
      </c>
      <c r="AB18">
        <f t="shared" si="20"/>
        <v>-1.9299008080048889</v>
      </c>
      <c r="AC18">
        <f t="shared" si="20"/>
        <v>-1.2720297925279769</v>
      </c>
      <c r="AD18">
        <f t="shared" si="20"/>
        <v>0.4502022403041131</v>
      </c>
      <c r="AE18">
        <f t="shared" si="20"/>
        <v>0.8766899708127075</v>
      </c>
      <c r="AF18" s="4">
        <f>LOG(Y18/Y$10,2)</f>
        <v>2.9932125452560334</v>
      </c>
    </row>
    <row r="19" spans="2:32" x14ac:dyDescent="0.25">
      <c r="B19" s="628"/>
      <c r="C19" s="60">
        <v>17</v>
      </c>
      <c r="D19">
        <v>0.18386187366871665</v>
      </c>
      <c r="E19">
        <v>1.7400370303882048E-3</v>
      </c>
      <c r="F19">
        <v>2.5634215762284396</v>
      </c>
      <c r="G19">
        <v>3.2525572321340498E-2</v>
      </c>
      <c r="H19">
        <v>0.58640555578597042</v>
      </c>
      <c r="I19">
        <v>2.4305225313514258</v>
      </c>
      <c r="J19" s="4">
        <v>2.2338074121100675</v>
      </c>
      <c r="K19">
        <f t="shared" si="12"/>
        <v>1.1486992719299705</v>
      </c>
      <c r="L19">
        <f t="shared" si="13"/>
        <v>-3.2258634895891181</v>
      </c>
      <c r="M19">
        <f t="shared" si="19"/>
        <v>-2.0027354071205883</v>
      </c>
      <c r="N19">
        <f t="shared" si="14"/>
        <v>2.4795055634608318</v>
      </c>
      <c r="O19">
        <f t="shared" si="15"/>
        <v>-2.3533264254442479</v>
      </c>
      <c r="P19">
        <f t="shared" si="16"/>
        <v>6.7339339612177493</v>
      </c>
      <c r="Q19" s="4">
        <f t="shared" si="17"/>
        <v>5.1109065623856935</v>
      </c>
      <c r="S19" s="80">
        <v>4.8039098462962261E-3</v>
      </c>
      <c r="T19">
        <v>3.4414533180416968E-3</v>
      </c>
      <c r="U19">
        <v>0.12141008153194979</v>
      </c>
      <c r="V19">
        <v>2.4739537530821347</v>
      </c>
      <c r="W19">
        <v>3.6101970111533058E-2</v>
      </c>
      <c r="X19">
        <v>6.9389938185198188E-4</v>
      </c>
      <c r="Y19" s="4">
        <v>1.5751541428113726E-2</v>
      </c>
      <c r="Z19" s="80">
        <f t="shared" si="18"/>
        <v>-2.6133192185772454</v>
      </c>
      <c r="AA19">
        <f t="shared" si="18"/>
        <v>1.3476490314944447</v>
      </c>
      <c r="AB19">
        <f t="shared" si="20"/>
        <v>-2.5921845673298582</v>
      </c>
      <c r="AC19">
        <f t="shared" si="20"/>
        <v>-2.8233438985444606</v>
      </c>
      <c r="AD19">
        <f t="shared" si="20"/>
        <v>0.15543935438377218</v>
      </c>
      <c r="AE19">
        <f t="shared" si="20"/>
        <v>-3.6396633732537622</v>
      </c>
      <c r="AF19" s="4">
        <f>LOG(Y19/Y$10,2)</f>
        <v>2.6750087500345003</v>
      </c>
    </row>
    <row r="20" spans="2:32" ht="15.75" thickBot="1" x14ac:dyDescent="0.3">
      <c r="B20" s="628"/>
      <c r="C20" s="61">
        <v>18</v>
      </c>
      <c r="D20" s="3">
        <v>9.2839840721293088E-2</v>
      </c>
      <c r="E20" s="3">
        <v>7.9683624228420581E-4</v>
      </c>
      <c r="F20" s="3">
        <v>1.6649141927387143</v>
      </c>
      <c r="G20" s="3">
        <v>2.3731705038383767E-2</v>
      </c>
      <c r="H20" s="3">
        <v>0.27983224189481598</v>
      </c>
      <c r="I20" s="3">
        <v>1.773525388695004</v>
      </c>
      <c r="J20" s="5">
        <v>1.2688268749548983</v>
      </c>
      <c r="K20">
        <f t="shared" si="12"/>
        <v>0.16289287683105347</v>
      </c>
      <c r="L20" s="3">
        <f t="shared" si="13"/>
        <v>-4.3526263268166669</v>
      </c>
      <c r="M20" s="3">
        <f t="shared" si="19"/>
        <v>-2.6253583437863113</v>
      </c>
      <c r="N20" s="3">
        <f t="shared" si="14"/>
        <v>2.0247468773215624</v>
      </c>
      <c r="O20" s="3">
        <f t="shared" si="15"/>
        <v>-3.4206630000525697</v>
      </c>
      <c r="P20" s="3">
        <f t="shared" si="16"/>
        <v>6.2792874361571513</v>
      </c>
      <c r="Q20" s="4">
        <f t="shared" si="17"/>
        <v>4.2948969874001621</v>
      </c>
      <c r="S20" s="542">
        <v>5.0064626120087559E-3</v>
      </c>
      <c r="T20" s="3">
        <v>4.8092729253696467E-2</v>
      </c>
      <c r="U20" s="3">
        <v>0.12716630660348799</v>
      </c>
      <c r="V20" s="3">
        <v>2.2905981691953738</v>
      </c>
      <c r="W20" s="3">
        <v>2.8803304260427709E-2</v>
      </c>
      <c r="X20" s="3">
        <v>3.8728001425148215E-4</v>
      </c>
      <c r="Y20" s="5">
        <v>1.0534349882754056E-2</v>
      </c>
      <c r="Z20" s="80">
        <f t="shared" si="18"/>
        <v>-2.5537366887084785</v>
      </c>
      <c r="AA20" s="3">
        <f t="shared" si="18"/>
        <v>5.1523779871060231</v>
      </c>
      <c r="AB20" s="3">
        <f t="shared" si="20"/>
        <v>-2.5253563195547368</v>
      </c>
      <c r="AC20" s="3">
        <f t="shared" si="20"/>
        <v>-2.9344380356433368</v>
      </c>
      <c r="AD20" s="3">
        <f t="shared" si="20"/>
        <v>-0.17040388942534751</v>
      </c>
      <c r="AE20" s="3">
        <f t="shared" si="20"/>
        <v>-4.4810128023491664</v>
      </c>
      <c r="AF20" s="4">
        <f>LOG(Y20/Y$10,2)</f>
        <v>2.0946170163698774</v>
      </c>
    </row>
    <row r="21" spans="2:32" ht="15.75" thickTop="1" x14ac:dyDescent="0.25">
      <c r="B21" s="628"/>
      <c r="C21" s="531" t="s">
        <v>408</v>
      </c>
      <c r="D21" s="532">
        <f>AVERAGE(D13:D20)</f>
        <v>7.1917646297797372E-2</v>
      </c>
      <c r="E21" s="532">
        <f t="shared" ref="E21:Q21" si="21">AVERAGE(E13:E20)</f>
        <v>3.4930296413504679E-3</v>
      </c>
      <c r="F21" s="532">
        <f t="shared" si="21"/>
        <v>1.6196156179005221</v>
      </c>
      <c r="G21" s="532">
        <f t="shared" si="21"/>
        <v>2.0181374196168958E-2</v>
      </c>
      <c r="H21" s="532">
        <f t="shared" si="21"/>
        <v>0.16921459897355576</v>
      </c>
      <c r="I21" s="532">
        <f t="shared" si="21"/>
        <v>1.302434263745984</v>
      </c>
      <c r="J21" s="533">
        <f t="shared" si="21"/>
        <v>8.257630877341084</v>
      </c>
      <c r="K21" s="532">
        <f t="shared" si="21"/>
        <v>-1.1149623159245261</v>
      </c>
      <c r="L21" s="532">
        <f t="shared" si="21"/>
        <v>-3.2664239023967157</v>
      </c>
      <c r="M21" s="532">
        <f t="shared" si="21"/>
        <v>-4.6817040034093127</v>
      </c>
      <c r="N21" s="532">
        <f t="shared" si="21"/>
        <v>1.489232213933203</v>
      </c>
      <c r="O21" s="532">
        <f t="shared" si="21"/>
        <v>-6.7510204828675029</v>
      </c>
      <c r="P21" s="532">
        <f t="shared" si="21"/>
        <v>4.1463793863533569</v>
      </c>
      <c r="Q21" s="533">
        <f t="shared" si="21"/>
        <v>4.9885574774043873</v>
      </c>
      <c r="S21" s="543">
        <f>AVERAGE(S13:S20)</f>
        <v>7.9141787276064916E-3</v>
      </c>
      <c r="T21" s="532">
        <f t="shared" ref="T21:AF21" si="22">AVERAGE(T13:T20)</f>
        <v>1.3757246283263592E-2</v>
      </c>
      <c r="U21" s="532">
        <f t="shared" si="22"/>
        <v>0.16909193606213768</v>
      </c>
      <c r="V21" s="532">
        <f t="shared" si="22"/>
        <v>4.0130283776329234</v>
      </c>
      <c r="W21" s="532">
        <f t="shared" si="22"/>
        <v>2.6902554782966031E-2</v>
      </c>
      <c r="X21" s="532">
        <f t="shared" si="22"/>
        <v>5.979822360589619E-3</v>
      </c>
      <c r="Y21" s="533">
        <f t="shared" si="22"/>
        <v>1.4328154582566333E-2</v>
      </c>
      <c r="Z21" s="532">
        <f t="shared" si="22"/>
        <v>-2.6173002457263643</v>
      </c>
      <c r="AA21" s="532">
        <f t="shared" si="22"/>
        <v>2.7175876546871911</v>
      </c>
      <c r="AB21" s="532">
        <f t="shared" si="22"/>
        <v>-2.1221567455182315</v>
      </c>
      <c r="AC21" s="532">
        <f t="shared" si="22"/>
        <v>-2.3667994617168664</v>
      </c>
      <c r="AD21" s="532">
        <f t="shared" si="22"/>
        <v>-0.38280012245306738</v>
      </c>
      <c r="AE21" s="532">
        <f t="shared" si="22"/>
        <v>-2.6583534264806787</v>
      </c>
      <c r="AF21" s="533">
        <f t="shared" si="22"/>
        <v>2.4980973361543519</v>
      </c>
    </row>
    <row r="22" spans="2:32" x14ac:dyDescent="0.25">
      <c r="B22" s="628"/>
      <c r="C22" s="132" t="s">
        <v>449</v>
      </c>
      <c r="D22" s="271"/>
      <c r="E22" s="271"/>
      <c r="F22" s="271"/>
      <c r="G22" s="271"/>
      <c r="H22" s="271"/>
      <c r="I22" s="271"/>
      <c r="J22" s="384"/>
      <c r="K22">
        <f t="shared" ref="K22:Q22" si="23">K21+2*STDEV(K13:K20)</f>
        <v>3.3341199304879998</v>
      </c>
      <c r="L22">
        <f t="shared" si="23"/>
        <v>-2.1284650419568951E-2</v>
      </c>
      <c r="M22">
        <f t="shared" si="23"/>
        <v>3.5936114852124357</v>
      </c>
      <c r="N22">
        <f t="shared" si="23"/>
        <v>3.6448699448316697</v>
      </c>
      <c r="O22">
        <f t="shared" si="23"/>
        <v>2.2309987448188533</v>
      </c>
      <c r="P22">
        <f t="shared" si="23"/>
        <v>11.636812485613707</v>
      </c>
      <c r="Q22" s="4">
        <f t="shared" si="23"/>
        <v>9.9272387560755568</v>
      </c>
      <c r="S22" s="496"/>
      <c r="T22" s="271"/>
      <c r="U22" s="271"/>
      <c r="V22" s="271"/>
      <c r="W22" s="271"/>
      <c r="X22" s="271"/>
      <c r="Y22" s="384"/>
      <c r="Z22">
        <f>Z21+2*STDEV(Z13:Z20)</f>
        <v>0.91756673228828456</v>
      </c>
      <c r="AA22">
        <f t="shared" ref="AA22:AF22" si="24">AA21+2*STDEV(AA13:AA20)</f>
        <v>5.5436178871705417</v>
      </c>
      <c r="AB22">
        <f t="shared" si="24"/>
        <v>-0.77007884949121941</v>
      </c>
      <c r="AC22">
        <f t="shared" si="24"/>
        <v>-0.54320031999144036</v>
      </c>
      <c r="AD22">
        <f t="shared" si="24"/>
        <v>0.88427945185207213</v>
      </c>
      <c r="AE22">
        <f t="shared" si="24"/>
        <v>3.814546942932743</v>
      </c>
      <c r="AF22" s="4">
        <f t="shared" si="24"/>
        <v>3.2449458556057769</v>
      </c>
    </row>
    <row r="23" spans="2:32" ht="15.75" thickBot="1" x14ac:dyDescent="0.3">
      <c r="B23" s="629"/>
      <c r="C23" s="203" t="s">
        <v>450</v>
      </c>
      <c r="D23" s="276"/>
      <c r="E23" s="276"/>
      <c r="F23" s="276"/>
      <c r="G23" s="276"/>
      <c r="H23" s="276"/>
      <c r="I23" s="276"/>
      <c r="J23" s="425"/>
      <c r="K23" s="81">
        <f>K21-2*STDEV(K13:K20)</f>
        <v>-5.5640445623370516</v>
      </c>
      <c r="L23" s="6">
        <f t="shared" ref="L23:Q23" si="25">L21-2*STDEV(L13:L20)</f>
        <v>-6.5115631543738619</v>
      </c>
      <c r="M23" s="6">
        <f t="shared" si="25"/>
        <v>-12.957019492031062</v>
      </c>
      <c r="N23" s="6">
        <f t="shared" si="25"/>
        <v>-0.66640551696526362</v>
      </c>
      <c r="O23" s="6">
        <f t="shared" si="25"/>
        <v>-15.733039710553859</v>
      </c>
      <c r="P23" s="6">
        <f t="shared" si="25"/>
        <v>-3.3440537129069927</v>
      </c>
      <c r="Q23" s="7">
        <f t="shared" si="25"/>
        <v>4.9876198733216803E-2</v>
      </c>
      <c r="S23" s="497"/>
      <c r="T23" s="276"/>
      <c r="U23" s="276"/>
      <c r="V23" s="276"/>
      <c r="W23" s="276"/>
      <c r="X23" s="276"/>
      <c r="Y23" s="425"/>
      <c r="Z23" s="81">
        <f>Z21-2*STDEV(Z13:Z20)</f>
        <v>-6.1521672237410137</v>
      </c>
      <c r="AA23" s="6">
        <f t="shared" ref="AA23:AF23" si="26">AA21-2*STDEV(AA13:AA20)</f>
        <v>-0.10844257779615951</v>
      </c>
      <c r="AB23" s="6">
        <f t="shared" si="26"/>
        <v>-3.4742346415452436</v>
      </c>
      <c r="AC23" s="6">
        <f t="shared" si="26"/>
        <v>-4.1903986034422926</v>
      </c>
      <c r="AD23" s="6">
        <f t="shared" si="26"/>
        <v>-1.649879696758207</v>
      </c>
      <c r="AE23" s="6">
        <f t="shared" si="26"/>
        <v>-9.1312537958941</v>
      </c>
      <c r="AF23" s="7">
        <f t="shared" si="26"/>
        <v>1.7512488167029268</v>
      </c>
    </row>
    <row r="24" spans="2:32" x14ac:dyDescent="0.25">
      <c r="B24" s="627" t="s">
        <v>149</v>
      </c>
      <c r="C24" s="403">
        <v>63</v>
      </c>
      <c r="D24" s="8">
        <v>9.1019055327397402E-2</v>
      </c>
      <c r="E24" s="8">
        <v>1.0556752730569767E-2</v>
      </c>
      <c r="F24" s="8">
        <v>4.1791616671327958</v>
      </c>
      <c r="G24" s="8">
        <v>4.6168820028194525E-4</v>
      </c>
      <c r="H24" s="8">
        <v>0.35999768621770922</v>
      </c>
      <c r="I24" s="8">
        <v>7.7030042370500542</v>
      </c>
      <c r="J24" s="9">
        <v>7.6829070411995337</v>
      </c>
      <c r="K24" s="8">
        <f t="shared" si="12"/>
        <v>0.13431744215235336</v>
      </c>
      <c r="L24" s="8">
        <f t="shared" si="13"/>
        <v>-0.62488727538198197</v>
      </c>
      <c r="M24" s="8">
        <f t="shared" si="19"/>
        <v>-1.297592599482486</v>
      </c>
      <c r="N24" s="8">
        <f t="shared" si="14"/>
        <v>-3.6590062084039081</v>
      </c>
      <c r="O24" s="8">
        <f t="shared" si="15"/>
        <v>-3.0572375634412357</v>
      </c>
      <c r="P24" s="8">
        <f t="shared" si="16"/>
        <v>8.3980886718763887</v>
      </c>
      <c r="Q24" s="9">
        <f t="shared" si="17"/>
        <v>6.8930540512483187</v>
      </c>
      <c r="S24" s="375">
        <v>7.0495071674907093E-5</v>
      </c>
      <c r="T24" s="8">
        <v>2.5719987138110084E-3</v>
      </c>
      <c r="U24" s="8">
        <v>0.56818437432929403</v>
      </c>
      <c r="V24" s="8">
        <v>45.688143125843695</v>
      </c>
      <c r="W24" s="8">
        <v>2.2844469630204749E-2</v>
      </c>
      <c r="X24" s="8">
        <v>1.0865090372968997E-2</v>
      </c>
      <c r="Y24" s="9">
        <v>6.4786016342185913E-3</v>
      </c>
      <c r="Z24" s="8">
        <f>LOG(S24/S$10,2)</f>
        <v>-8.7038620830467792</v>
      </c>
      <c r="AA24" s="8">
        <f t="shared" ref="AA24:AA29" si="27">LOG(T24/T$10,2)</f>
        <v>0.92752101221104954</v>
      </c>
      <c r="AB24" s="8">
        <f>LOG(U24/U$10,2)</f>
        <v>-0.36571363456654354</v>
      </c>
      <c r="AC24" s="8">
        <f t="shared" ref="AC24:AC29" si="28">LOG(V24/V$10,2)</f>
        <v>1.3835854740337092</v>
      </c>
      <c r="AD24" s="8">
        <f t="shared" ref="AD24:AD29" si="29">LOG(W24/W$10,2)</f>
        <v>-0.5047932652931002</v>
      </c>
      <c r="AE24" s="8">
        <f t="shared" ref="AE24:AE29" si="30">LOG(X24/X$10,2)</f>
        <v>0.32916650955220683</v>
      </c>
      <c r="AF24" s="9">
        <f t="shared" ref="AF24:AF29" si="31">LOG(Y24/Y$10,2)</f>
        <v>1.3932700890928682</v>
      </c>
    </row>
    <row r="25" spans="2:32" x14ac:dyDescent="0.25">
      <c r="B25" s="628"/>
      <c r="C25" s="63">
        <v>64</v>
      </c>
      <c r="D25">
        <v>5.2750365964899251E-2</v>
      </c>
      <c r="E25">
        <v>3.1803728418086244E-3</v>
      </c>
      <c r="F25">
        <v>1.8728085909523755</v>
      </c>
      <c r="G25">
        <v>5.4658289150097221E-4</v>
      </c>
      <c r="H25">
        <v>0.68735334196663145</v>
      </c>
      <c r="I25">
        <v>3.0129452676682051</v>
      </c>
      <c r="J25" s="4">
        <v>0.68789487268559657</v>
      </c>
      <c r="K25">
        <f t="shared" si="12"/>
        <v>-0.65267006792029492</v>
      </c>
      <c r="L25">
        <f t="shared" si="13"/>
        <v>-2.3557855929270901</v>
      </c>
      <c r="M25">
        <f t="shared" si="19"/>
        <v>-2.4556027110780105</v>
      </c>
      <c r="N25">
        <f t="shared" si="14"/>
        <v>-3.4154847661896617</v>
      </c>
      <c r="O25">
        <f t="shared" si="15"/>
        <v>-2.1241732736465799</v>
      </c>
      <c r="P25">
        <f t="shared" si="16"/>
        <v>7.0438419185749783</v>
      </c>
      <c r="Q25" s="4">
        <f t="shared" si="17"/>
        <v>3.4116617607510857</v>
      </c>
      <c r="S25" s="80">
        <v>2.0908107346300201E-5</v>
      </c>
      <c r="T25">
        <v>2.0556048167351472E-4</v>
      </c>
      <c r="U25">
        <v>9.2168543571094306E-3</v>
      </c>
      <c r="V25">
        <v>0.28468767892796243</v>
      </c>
      <c r="W25">
        <v>1.3519431243114604E-3</v>
      </c>
      <c r="X25">
        <v>1.8287027626919046E-4</v>
      </c>
      <c r="Y25" s="4">
        <v>1.8840243109008076E-4</v>
      </c>
      <c r="Z25">
        <f>LOG(S25/S$10,2)</f>
        <v>-10.457322013466706</v>
      </c>
      <c r="AA25">
        <f t="shared" si="27"/>
        <v>-2.7177340660763409</v>
      </c>
      <c r="AB25" s="111"/>
      <c r="AC25">
        <f t="shared" si="28"/>
        <v>-5.942710469283762</v>
      </c>
      <c r="AD25">
        <f t="shared" si="29"/>
        <v>-4.5835318493999999</v>
      </c>
      <c r="AE25">
        <f t="shared" si="30"/>
        <v>-5.5635692562293722</v>
      </c>
      <c r="AF25" s="112"/>
    </row>
    <row r="26" spans="2:32" x14ac:dyDescent="0.25">
      <c r="B26" s="628"/>
      <c r="C26" s="63">
        <v>65</v>
      </c>
      <c r="D26">
        <v>8.1296196662078407E-2</v>
      </c>
      <c r="E26">
        <v>4.212994504765687E-3</v>
      </c>
      <c r="F26">
        <v>4.6849750304065267</v>
      </c>
      <c r="G26">
        <v>5.2717152544109645E-4</v>
      </c>
      <c r="H26">
        <v>0.41483719734481361</v>
      </c>
      <c r="I26">
        <v>5.1930148508099823</v>
      </c>
      <c r="J26" s="4">
        <v>1.1678894810819265</v>
      </c>
      <c r="K26">
        <f t="shared" si="12"/>
        <v>-2.8663311475731271E-2</v>
      </c>
      <c r="L26">
        <f t="shared" si="13"/>
        <v>-1.9501354644133342</v>
      </c>
      <c r="M26">
        <f t="shared" si="19"/>
        <v>-1.1327648098422216</v>
      </c>
      <c r="N26">
        <f t="shared" si="14"/>
        <v>-3.4676526222530075</v>
      </c>
      <c r="O26">
        <f t="shared" si="15"/>
        <v>-2.8526799349488443</v>
      </c>
      <c r="P26">
        <f t="shared" si="16"/>
        <v>7.829239804206896</v>
      </c>
      <c r="Q26" s="4">
        <f t="shared" si="17"/>
        <v>4.1753055098222065</v>
      </c>
      <c r="S26" s="80">
        <v>1.7032453243918531E-2</v>
      </c>
      <c r="T26">
        <v>1.8146567670943E-3</v>
      </c>
      <c r="U26">
        <v>0.68525866971818106</v>
      </c>
      <c r="V26">
        <v>44.442967316443692</v>
      </c>
      <c r="W26">
        <v>1.0259333995487141E-2</v>
      </c>
      <c r="X26">
        <v>1.6157411664031046E-3</v>
      </c>
      <c r="Y26" s="4">
        <v>7.8041175763692546E-3</v>
      </c>
      <c r="Z26">
        <f>LOG(S26/S$10,2)</f>
        <v>-0.78731395390741499</v>
      </c>
      <c r="AA26">
        <f t="shared" si="27"/>
        <v>0.42432778674699317</v>
      </c>
      <c r="AB26">
        <f>LOG(U26/U$10,2)</f>
        <v>-9.542411522462392E-2</v>
      </c>
      <c r="AC26">
        <f t="shared" si="28"/>
        <v>1.3437208089635635</v>
      </c>
      <c r="AD26">
        <f t="shared" si="29"/>
        <v>-1.6597011351799185</v>
      </c>
      <c r="AE26">
        <f t="shared" si="30"/>
        <v>-2.4202656557427225</v>
      </c>
      <c r="AF26" s="4">
        <f t="shared" si="31"/>
        <v>1.6618231527814775</v>
      </c>
    </row>
    <row r="27" spans="2:32" x14ac:dyDescent="0.25">
      <c r="B27" s="628"/>
      <c r="C27" s="63">
        <v>66</v>
      </c>
      <c r="D27">
        <v>9.0227830378267523E-2</v>
      </c>
      <c r="E27">
        <v>9.0107704548114242E-3</v>
      </c>
      <c r="F27">
        <v>4.5687991764181604</v>
      </c>
      <c r="G27">
        <v>5.1216118807815235E-4</v>
      </c>
      <c r="H27">
        <v>0.58581003773040607</v>
      </c>
      <c r="I27">
        <v>2.5111274115040239</v>
      </c>
      <c r="J27" s="4">
        <v>3.4876103480374643</v>
      </c>
      <c r="K27">
        <f t="shared" si="12"/>
        <v>0.12172132435189753</v>
      </c>
      <c r="L27">
        <f t="shared" si="13"/>
        <v>-0.85333103135786714</v>
      </c>
      <c r="M27">
        <f t="shared" si="19"/>
        <v>-1.168991138946623</v>
      </c>
      <c r="N27">
        <f t="shared" si="14"/>
        <v>-3.5093271405330491</v>
      </c>
      <c r="O27">
        <f t="shared" si="15"/>
        <v>-2.3547922838139672</v>
      </c>
      <c r="P27">
        <f t="shared" si="16"/>
        <v>6.7810026840357285</v>
      </c>
      <c r="Q27" s="4">
        <f t="shared" si="17"/>
        <v>5.7536406178288066</v>
      </c>
      <c r="S27" s="80">
        <v>2.035298855003163E-2</v>
      </c>
      <c r="T27">
        <v>1.1177635177829835E-3</v>
      </c>
      <c r="U27">
        <v>0.70693251126761059</v>
      </c>
      <c r="V27">
        <v>70.108554690778988</v>
      </c>
      <c r="W27">
        <v>1.9108348694442241E-2</v>
      </c>
      <c r="X27">
        <v>2.8237768086587884E-3</v>
      </c>
      <c r="Y27" s="4">
        <v>4.6156680519385818E-3</v>
      </c>
      <c r="Z27">
        <f>LOG(S27/S$10,2)</f>
        <v>-0.53035955079574071</v>
      </c>
      <c r="AA27">
        <f t="shared" si="27"/>
        <v>-0.27475391564074336</v>
      </c>
      <c r="AB27">
        <f>LOG(U27/U$10,2)</f>
        <v>-5.0500299173217668E-2</v>
      </c>
      <c r="AC27">
        <f t="shared" si="28"/>
        <v>2.0013561583837749</v>
      </c>
      <c r="AD27">
        <f t="shared" si="29"/>
        <v>-0.76243510496427935</v>
      </c>
      <c r="AE27">
        <f t="shared" si="30"/>
        <v>-1.6148356973748716</v>
      </c>
      <c r="AF27" s="4">
        <f t="shared" si="31"/>
        <v>0.90412711157125736</v>
      </c>
    </row>
    <row r="28" spans="2:32" x14ac:dyDescent="0.25">
      <c r="B28" s="628"/>
      <c r="C28" s="63">
        <v>67</v>
      </c>
      <c r="D28">
        <v>1.2051873011571343</v>
      </c>
      <c r="E28">
        <v>3.6329819871177262E-2</v>
      </c>
      <c r="G28">
        <v>7.9268192168762785E-4</v>
      </c>
      <c r="H28">
        <v>4.6374356711018088</v>
      </c>
      <c r="I28">
        <v>0.58109257177867324</v>
      </c>
      <c r="J28" s="4">
        <v>0.24861133309632308</v>
      </c>
      <c r="K28">
        <f t="shared" si="12"/>
        <v>3.8612623957561536</v>
      </c>
      <c r="L28">
        <f t="shared" si="13"/>
        <v>1.15810080902472</v>
      </c>
      <c r="N28">
        <f t="shared" si="14"/>
        <v>-2.8791829952795873</v>
      </c>
      <c r="O28">
        <f t="shared" si="15"/>
        <v>0.63003016667896083</v>
      </c>
      <c r="P28">
        <f t="shared" si="16"/>
        <v>4.6695073706409778</v>
      </c>
      <c r="Q28" s="4">
        <f t="shared" si="17"/>
        <v>1.9433657223931322</v>
      </c>
      <c r="S28" s="80">
        <v>7.2449026333651747E-4</v>
      </c>
      <c r="T28">
        <v>5.5854423507593334E-3</v>
      </c>
      <c r="U28">
        <v>1.2273864861139929</v>
      </c>
      <c r="V28">
        <v>15.605634768550198</v>
      </c>
      <c r="W28">
        <v>5.6235007521345567E-2</v>
      </c>
      <c r="X28">
        <v>3.7064574468474673E-3</v>
      </c>
      <c r="Y28" s="4">
        <v>6.9053492551338982E-3</v>
      </c>
      <c r="Z28">
        <f>LOG(S28/S$10,2)</f>
        <v>-5.3424900890282272</v>
      </c>
      <c r="AA28">
        <f t="shared" si="27"/>
        <v>2.0463026334756669</v>
      </c>
      <c r="AB28">
        <f>LOG(U28/U$10,2)</f>
        <v>0.7454449080649842</v>
      </c>
      <c r="AC28">
        <f t="shared" si="28"/>
        <v>-0.16616729423039289</v>
      </c>
      <c r="AD28">
        <f t="shared" si="29"/>
        <v>0.79483030548020073</v>
      </c>
      <c r="AE28">
        <f t="shared" si="30"/>
        <v>-1.2224208116948578</v>
      </c>
      <c r="AF28" s="4">
        <f t="shared" si="31"/>
        <v>1.4853020233154655</v>
      </c>
    </row>
    <row r="29" spans="2:32" ht="15.75" thickBot="1" x14ac:dyDescent="0.3">
      <c r="B29" s="628"/>
      <c r="C29" s="64">
        <v>68</v>
      </c>
      <c r="D29" s="3">
        <v>0.13846519369275792</v>
      </c>
      <c r="E29" s="3">
        <v>9.1200436618654717E-3</v>
      </c>
      <c r="F29" s="3">
        <v>5.3307771187820325</v>
      </c>
      <c r="G29" s="3">
        <v>7.3303473629548143E-4</v>
      </c>
      <c r="H29" s="3">
        <v>1.152077973577744</v>
      </c>
      <c r="I29" s="3">
        <v>7.581499376671065</v>
      </c>
      <c r="J29" s="5">
        <v>8.7000117136096335</v>
      </c>
      <c r="K29">
        <f t="shared" si="12"/>
        <v>0.73960029251239323</v>
      </c>
      <c r="L29" s="3">
        <f t="shared" si="13"/>
        <v>-0.83594076727562816</v>
      </c>
      <c r="M29" s="3">
        <f t="shared" si="19"/>
        <v>-0.94646030470720444</v>
      </c>
      <c r="N29" s="3">
        <f t="shared" si="14"/>
        <v>-2.9920435042766171</v>
      </c>
      <c r="O29" s="3">
        <f t="shared" si="15"/>
        <v>-1.3790587397656187</v>
      </c>
      <c r="P29" s="3">
        <f t="shared" si="16"/>
        <v>8.3751506482837463</v>
      </c>
      <c r="Q29" s="4">
        <f t="shared" si="17"/>
        <v>7.072419096667681</v>
      </c>
      <c r="S29" s="542"/>
      <c r="T29" s="3">
        <v>2.2251500983331727E-3</v>
      </c>
      <c r="U29" s="3">
        <v>0.62538055654603064</v>
      </c>
      <c r="V29" s="3">
        <v>56.228061800752748</v>
      </c>
      <c r="W29" s="3">
        <v>1.7342163776458534E-2</v>
      </c>
      <c r="X29" s="3">
        <v>5.4690564215502383E-5</v>
      </c>
      <c r="Y29" s="5">
        <v>4.4533455580910188E-3</v>
      </c>
      <c r="AA29" s="3">
        <f t="shared" si="27"/>
        <v>0.71853374789463187</v>
      </c>
      <c r="AB29" s="3">
        <f>LOG(U29/U$10,2)</f>
        <v>-0.22733842528925427</v>
      </c>
      <c r="AC29" s="3">
        <f t="shared" si="28"/>
        <v>1.6830559824102638</v>
      </c>
      <c r="AD29" s="3">
        <f t="shared" si="29"/>
        <v>-0.90235429941694134</v>
      </c>
      <c r="AE29" s="3">
        <f t="shared" si="30"/>
        <v>-7.3050260038913484</v>
      </c>
      <c r="AF29" s="4">
        <f t="shared" si="31"/>
        <v>0.85247720139998939</v>
      </c>
    </row>
    <row r="30" spans="2:32" ht="15.75" thickTop="1" x14ac:dyDescent="0.25">
      <c r="B30" s="628"/>
      <c r="C30" s="531" t="s">
        <v>408</v>
      </c>
      <c r="D30" s="532">
        <f>AVERAGE(D24:D29)</f>
        <v>0.27649099053042248</v>
      </c>
      <c r="E30" s="532">
        <f t="shared" ref="E30:Q30" si="32">AVERAGE(E24:E29)</f>
        <v>1.2068459010833039E-2</v>
      </c>
      <c r="F30" s="532">
        <f t="shared" si="32"/>
        <v>4.1273043167383783</v>
      </c>
      <c r="G30" s="532">
        <f t="shared" si="32"/>
        <v>5.9555341054754601E-4</v>
      </c>
      <c r="H30" s="532">
        <f t="shared" si="32"/>
        <v>1.3062519846565188</v>
      </c>
      <c r="I30" s="532">
        <f t="shared" si="32"/>
        <v>4.4304472859136679</v>
      </c>
      <c r="J30" s="533">
        <f t="shared" si="32"/>
        <v>3.6624874649517465</v>
      </c>
      <c r="K30" s="532">
        <f t="shared" si="32"/>
        <v>0.69592801256279524</v>
      </c>
      <c r="L30" s="532">
        <f t="shared" si="32"/>
        <v>-0.9103298870551968</v>
      </c>
      <c r="M30" s="532">
        <f t="shared" si="32"/>
        <v>-1.4002823128113091</v>
      </c>
      <c r="N30" s="532">
        <f t="shared" si="32"/>
        <v>-3.3204495394893048</v>
      </c>
      <c r="O30" s="532">
        <f t="shared" si="32"/>
        <v>-1.8563186048228808</v>
      </c>
      <c r="P30" s="532">
        <f t="shared" si="32"/>
        <v>7.1828051829364528</v>
      </c>
      <c r="Q30" s="533">
        <f t="shared" si="32"/>
        <v>4.8749077931185383</v>
      </c>
      <c r="S30" s="543">
        <f>AVERAGE(S24:S29)</f>
        <v>7.6402670472615775E-3</v>
      </c>
      <c r="T30" s="532">
        <f t="shared" ref="T30:AF30" si="33">AVERAGE(T24:T29)</f>
        <v>2.2534286549090524E-3</v>
      </c>
      <c r="U30" s="532">
        <f t="shared" si="33"/>
        <v>0.63705990872203644</v>
      </c>
      <c r="V30" s="532">
        <f t="shared" si="33"/>
        <v>38.726341563549546</v>
      </c>
      <c r="W30" s="532">
        <f t="shared" si="33"/>
        <v>2.1190211123708284E-2</v>
      </c>
      <c r="X30" s="532">
        <f t="shared" si="33"/>
        <v>3.2081044392271753E-3</v>
      </c>
      <c r="Y30" s="533">
        <f t="shared" si="33"/>
        <v>5.0742474178069041E-3</v>
      </c>
      <c r="Z30" s="532">
        <f t="shared" si="33"/>
        <v>-5.1642695380489743</v>
      </c>
      <c r="AA30" s="532">
        <f t="shared" si="33"/>
        <v>0.18736619976854288</v>
      </c>
      <c r="AB30" s="532">
        <f t="shared" si="33"/>
        <v>1.2936867622689585E-3</v>
      </c>
      <c r="AC30" s="532">
        <f t="shared" si="33"/>
        <v>5.0473443379526084E-2</v>
      </c>
      <c r="AD30" s="532">
        <f t="shared" si="33"/>
        <v>-1.2696642247956733</v>
      </c>
      <c r="AE30" s="532">
        <f t="shared" si="33"/>
        <v>-2.9661584858968282</v>
      </c>
      <c r="AF30" s="533">
        <f t="shared" si="33"/>
        <v>1.2593999156322115</v>
      </c>
    </row>
    <row r="31" spans="2:32" x14ac:dyDescent="0.25">
      <c r="B31" s="628"/>
      <c r="C31" s="132" t="s">
        <v>449</v>
      </c>
      <c r="D31" s="271"/>
      <c r="E31" s="271"/>
      <c r="F31" s="271"/>
      <c r="G31" s="271"/>
      <c r="H31" s="271"/>
      <c r="I31" s="271"/>
      <c r="J31" s="384"/>
      <c r="K31">
        <f t="shared" ref="K31:Q31" si="34">K30+2*STDEV(K24:K29)</f>
        <v>3.9220858696552869</v>
      </c>
      <c r="L31">
        <f t="shared" si="34"/>
        <v>1.5455534124652939</v>
      </c>
      <c r="M31">
        <f t="shared" si="34"/>
        <v>-0.19393992494478485</v>
      </c>
      <c r="N31">
        <f t="shared" si="34"/>
        <v>-2.6984768744085175</v>
      </c>
      <c r="O31">
        <f t="shared" si="34"/>
        <v>0.85142903038098106</v>
      </c>
      <c r="P31">
        <f t="shared" si="34"/>
        <v>9.9847903816204742</v>
      </c>
      <c r="Q31" s="4">
        <f t="shared" si="34"/>
        <v>8.963781754895134</v>
      </c>
      <c r="S31" s="496"/>
      <c r="T31" s="271"/>
      <c r="U31" s="271"/>
      <c r="V31" s="271"/>
      <c r="W31" s="271"/>
      <c r="X31" s="271"/>
      <c r="Y31" s="384"/>
      <c r="Z31">
        <f>Z30+2*STDEV(Z24:Z29)</f>
        <v>3.8472644275106278</v>
      </c>
      <c r="AA31">
        <f t="shared" ref="AA31:AF31" si="35">AA30+2*STDEV(AA24:AA29)</f>
        <v>3.4116399008688822</v>
      </c>
      <c r="AB31">
        <f t="shared" si="35"/>
        <v>0.8689139994202163</v>
      </c>
      <c r="AC31">
        <f t="shared" si="35"/>
        <v>6.1092609240237232</v>
      </c>
      <c r="AD31">
        <f t="shared" si="35"/>
        <v>2.3495302310332868</v>
      </c>
      <c r="AE31">
        <f t="shared" si="35"/>
        <v>2.8024582780355662</v>
      </c>
      <c r="AF31" s="4">
        <f t="shared" si="35"/>
        <v>1.9823814562397624</v>
      </c>
    </row>
    <row r="32" spans="2:32" ht="15.75" thickBot="1" x14ac:dyDescent="0.3">
      <c r="B32" s="629"/>
      <c r="C32" s="203" t="s">
        <v>450</v>
      </c>
      <c r="D32" s="276"/>
      <c r="E32" s="276"/>
      <c r="F32" s="276"/>
      <c r="G32" s="276"/>
      <c r="H32" s="276"/>
      <c r="I32" s="276"/>
      <c r="J32" s="425"/>
      <c r="K32" s="81">
        <f>K30-2*STDEV(K24:K29)</f>
        <v>-2.5302298445296967</v>
      </c>
      <c r="L32" s="6">
        <f t="shared" ref="L32:Q32" si="36">L30-2*STDEV(L24:L29)</f>
        <v>-3.3662131865756875</v>
      </c>
      <c r="M32" s="6">
        <f t="shared" si="36"/>
        <v>-2.6066247006778331</v>
      </c>
      <c r="N32" s="6">
        <f t="shared" si="36"/>
        <v>-3.9424222045700921</v>
      </c>
      <c r="O32" s="6">
        <f t="shared" si="36"/>
        <v>-4.5640662400267429</v>
      </c>
      <c r="P32" s="6">
        <f t="shared" si="36"/>
        <v>4.3808199842524322</v>
      </c>
      <c r="Q32" s="7">
        <f t="shared" si="36"/>
        <v>0.78603383134194171</v>
      </c>
      <c r="S32" s="497"/>
      <c r="T32" s="276"/>
      <c r="U32" s="276"/>
      <c r="V32" s="276"/>
      <c r="W32" s="276"/>
      <c r="X32" s="276"/>
      <c r="Y32" s="425"/>
      <c r="Z32" s="81">
        <f>Z30-2*STDEV(Z24:Z29)</f>
        <v>-14.175803503608577</v>
      </c>
      <c r="AA32" s="6">
        <f t="shared" ref="AA32:AF32" si="37">AA30-2*STDEV(AA24:AA29)</f>
        <v>-3.0369075013317963</v>
      </c>
      <c r="AB32" s="6">
        <f t="shared" si="37"/>
        <v>-0.86632662589567844</v>
      </c>
      <c r="AC32" s="6">
        <f t="shared" si="37"/>
        <v>-6.0083140372646708</v>
      </c>
      <c r="AD32" s="6">
        <f t="shared" si="37"/>
        <v>-4.888858680624633</v>
      </c>
      <c r="AE32" s="6">
        <f t="shared" si="37"/>
        <v>-8.734775249829223</v>
      </c>
      <c r="AF32" s="7">
        <f t="shared" si="37"/>
        <v>0.53641837502466072</v>
      </c>
    </row>
    <row r="33" spans="2:32" x14ac:dyDescent="0.25">
      <c r="B33" s="627" t="s">
        <v>95</v>
      </c>
      <c r="C33" s="403">
        <v>56</v>
      </c>
      <c r="D33" s="8">
        <v>7.0329400283496241E-2</v>
      </c>
      <c r="E33" s="8">
        <v>1.2936756829723114E-2</v>
      </c>
      <c r="F33" s="8">
        <v>6.913023240631782</v>
      </c>
      <c r="G33" s="8">
        <v>1.1687132183264817E-3</v>
      </c>
      <c r="H33" s="8">
        <v>4.0580691402784144</v>
      </c>
      <c r="I33" s="8">
        <v>1.8511080645125916E-3</v>
      </c>
      <c r="J33" s="9">
        <v>1.7615456514505648E-2</v>
      </c>
      <c r="K33" s="8">
        <f>LOG(D33/D$40,2)</f>
        <v>-2.6003412024956924</v>
      </c>
      <c r="L33" s="8">
        <f t="shared" ref="L33:Q33" si="38">LOG(E33/E$40,2)</f>
        <v>-2.2140613701468572</v>
      </c>
      <c r="M33" s="8">
        <f t="shared" si="38"/>
        <v>-0.24691111968486751</v>
      </c>
      <c r="N33" s="8">
        <f t="shared" si="38"/>
        <v>-1.395526643784494</v>
      </c>
      <c r="O33" s="8">
        <f t="shared" si="38"/>
        <v>-0.37094791834339896</v>
      </c>
      <c r="P33" s="8">
        <f t="shared" si="38"/>
        <v>-2.590924635892673</v>
      </c>
      <c r="Q33" s="9">
        <f t="shared" si="38"/>
        <v>-1.259392633551526</v>
      </c>
      <c r="S33" s="375">
        <v>1.0291985679369504E-4</v>
      </c>
      <c r="T33" s="8">
        <v>1.0483333613487038E-4</v>
      </c>
      <c r="U33" s="8">
        <v>0.32592081660446481</v>
      </c>
      <c r="V33" s="8">
        <v>0.54515359991024659</v>
      </c>
      <c r="W33" s="8">
        <v>1.8657075544884882E-3</v>
      </c>
      <c r="X33" s="8">
        <v>2.3365360709532624E-5</v>
      </c>
      <c r="Y33" s="9">
        <v>9.8051941955458417E-5</v>
      </c>
      <c r="Z33" s="8">
        <f t="shared" ref="Z33:AF33" si="39">LOG(S33/S$40,2)</f>
        <v>-3.5557271761759432</v>
      </c>
      <c r="AA33" s="8">
        <f t="shared" si="39"/>
        <v>-4.6474393383631796</v>
      </c>
      <c r="AB33" s="8">
        <f t="shared" si="39"/>
        <v>1.487550670031193E-2</v>
      </c>
      <c r="AC33" s="8">
        <f t="shared" si="39"/>
        <v>-3.4685231866115913</v>
      </c>
      <c r="AD33" s="8">
        <f t="shared" si="39"/>
        <v>-4.6851358291310108</v>
      </c>
      <c r="AE33" s="8">
        <f t="shared" si="39"/>
        <v>-1.3677092709820602</v>
      </c>
      <c r="AF33" s="9">
        <f t="shared" si="39"/>
        <v>-4.648020489420138</v>
      </c>
    </row>
    <row r="34" spans="2:32" x14ac:dyDescent="0.25">
      <c r="B34" s="628"/>
      <c r="C34" s="63">
        <v>57</v>
      </c>
      <c r="D34">
        <v>0.22321571121135267</v>
      </c>
      <c r="E34">
        <v>8.1299398333038522E-3</v>
      </c>
      <c r="F34">
        <v>7.6971632135496453</v>
      </c>
      <c r="G34">
        <v>3.7612922095980228E-3</v>
      </c>
      <c r="H34">
        <v>5.2863280617856319</v>
      </c>
      <c r="I34">
        <v>1.6280341833187983E-3</v>
      </c>
      <c r="J34" s="4">
        <v>6.6210152447222729E-3</v>
      </c>
      <c r="K34">
        <f t="shared" ref="K34:K39" si="40">LOG(D34/D$40,2)</f>
        <v>-0.93410244678986221</v>
      </c>
      <c r="L34">
        <f t="shared" ref="L34:L39" si="41">LOG(E34/E$40,2)</f>
        <v>-2.884220776887175</v>
      </c>
      <c r="M34">
        <f>LOG(F34/F$40,2)</f>
        <v>-9.1901056402121595E-2</v>
      </c>
      <c r="N34">
        <f t="shared" ref="N34:N39" si="42">LOG(G34/G$40,2)</f>
        <v>0.2907807866318024</v>
      </c>
      <c r="O34">
        <f>LOG(H34/H$40,2)</f>
        <v>1.0524595408142318E-2</v>
      </c>
      <c r="P34">
        <f t="shared" ref="P34:P39" si="43">LOG(I34/I$40,2)</f>
        <v>-2.7761827638870455</v>
      </c>
      <c r="Q34" s="4">
        <f t="shared" ref="Q34:Q39" si="44">LOG(J34/J$40,2)</f>
        <v>-2.6711101399013173</v>
      </c>
      <c r="S34" s="80"/>
      <c r="T34">
        <v>3.6608585038407495E-5</v>
      </c>
      <c r="U34">
        <v>6.5197257708106172E-3</v>
      </c>
      <c r="V34">
        <v>0.19662546112582946</v>
      </c>
      <c r="W34">
        <v>2.5787423308621773E-3</v>
      </c>
      <c r="Y34" s="4">
        <v>1.0506157205767718E-4</v>
      </c>
      <c r="AA34">
        <f>LOG(T34/T$40,2)</f>
        <v>-6.1652829751991138</v>
      </c>
      <c r="AB34">
        <f>LOG(U34/U$40,2)</f>
        <v>-5.6286908993397304</v>
      </c>
      <c r="AC34">
        <f>LOG(V34/V$40,2)</f>
        <v>-4.9397358116835752</v>
      </c>
      <c r="AD34">
        <f>LOG(W34/W$40,2)</f>
        <v>-4.2181910682353259</v>
      </c>
      <c r="AF34" s="4">
        <f>LOG(Y34/Y$40,2)</f>
        <v>-4.5484035212429506</v>
      </c>
    </row>
    <row r="35" spans="2:32" x14ac:dyDescent="0.25">
      <c r="B35" s="628"/>
      <c r="C35" s="63">
        <v>52</v>
      </c>
      <c r="D35">
        <v>8.2559670881408628E-2</v>
      </c>
      <c r="E35">
        <v>2.5194489134357317E-2</v>
      </c>
      <c r="F35">
        <v>12.671388405595366</v>
      </c>
      <c r="G35">
        <v>5.5559515266873204E-3</v>
      </c>
      <c r="H35">
        <v>7.9737658098670714</v>
      </c>
      <c r="I35">
        <v>4.2985066197412318E-2</v>
      </c>
      <c r="J35" s="4">
        <v>0.11492193010279267</v>
      </c>
      <c r="K35">
        <f t="shared" si="40"/>
        <v>-2.3690318980645095</v>
      </c>
      <c r="L35">
        <f t="shared" si="41"/>
        <v>-1.2524291542344981</v>
      </c>
      <c r="M35">
        <f>LOG(F35/F$40,2)</f>
        <v>0.62727480882097142</v>
      </c>
      <c r="N35">
        <f t="shared" si="42"/>
        <v>0.85358640738798708</v>
      </c>
      <c r="O35">
        <f>LOG(H35/H$40,2)</f>
        <v>0.60351986999679963</v>
      </c>
      <c r="P35">
        <f t="shared" si="43"/>
        <v>1.9464498673360133</v>
      </c>
      <c r="Q35" s="4">
        <f t="shared" si="44"/>
        <v>1.4463477258729664</v>
      </c>
      <c r="S35" s="80"/>
      <c r="T35">
        <v>1.6696472911596576E-4</v>
      </c>
      <c r="U35">
        <v>1.6686284440618582E-2</v>
      </c>
      <c r="V35">
        <v>0.46404724788741891</v>
      </c>
      <c r="W35">
        <v>3.33614422636184E-3</v>
      </c>
      <c r="X35">
        <v>9.7228167505566111E-5</v>
      </c>
      <c r="Y35" s="4">
        <v>5.9618270278644704E-5</v>
      </c>
      <c r="AE35">
        <f>LOG(X35/X$40,2)</f>
        <v>0.68929375025817463</v>
      </c>
      <c r="AF35" s="4"/>
    </row>
    <row r="36" spans="2:32" x14ac:dyDescent="0.25">
      <c r="B36" s="628"/>
      <c r="C36" s="63">
        <v>50</v>
      </c>
      <c r="J36" s="4"/>
      <c r="Q36" s="4"/>
      <c r="S36" s="80"/>
      <c r="Y36" s="4"/>
      <c r="AF36" s="4"/>
    </row>
    <row r="37" spans="2:32" x14ac:dyDescent="0.25">
      <c r="B37" s="628"/>
      <c r="C37" s="63">
        <v>59</v>
      </c>
      <c r="J37" s="4"/>
      <c r="Q37" s="4"/>
      <c r="S37" s="80">
        <v>2.3176058833427019E-3</v>
      </c>
      <c r="T37">
        <v>7.3386685469179009E-5</v>
      </c>
      <c r="U37">
        <v>7.9792164525371273E-2</v>
      </c>
      <c r="V37">
        <v>0.49539077730310233</v>
      </c>
      <c r="W37">
        <v>2.2363242962772372E-3</v>
      </c>
      <c r="Y37" s="4">
        <v>6.3065100379358993E-5</v>
      </c>
      <c r="Z37">
        <f>LOG(S37/S$40,2)</f>
        <v>0.93731481601156019</v>
      </c>
      <c r="AA37">
        <f>LOG(T37/T$40,2)</f>
        <v>-5.1619466492341797</v>
      </c>
      <c r="AB37">
        <f>LOG(U37/U$40,2)</f>
        <v>-2.0153270054779622</v>
      </c>
      <c r="AC37">
        <f>LOG(V37/V$40,2)</f>
        <v>-3.6066189505745161</v>
      </c>
      <c r="AD37">
        <f>LOG(W37/W$40,2)</f>
        <v>-4.4237292807967847</v>
      </c>
      <c r="AF37" s="4">
        <f>LOG(Y37/Y$40,2)</f>
        <v>-5.2847248407786873</v>
      </c>
    </row>
    <row r="38" spans="2:32" x14ac:dyDescent="0.25">
      <c r="B38" s="628"/>
      <c r="C38" s="63">
        <v>58</v>
      </c>
      <c r="D38">
        <v>0.11825743358702628</v>
      </c>
      <c r="E38">
        <v>1.0359356432375769E-2</v>
      </c>
      <c r="F38">
        <v>5.5321597684628649</v>
      </c>
      <c r="G38">
        <v>2.976582651194771E-3</v>
      </c>
      <c r="H38">
        <v>3.6734534964769097</v>
      </c>
      <c r="I38">
        <v>1.8789493518448705E-3</v>
      </c>
      <c r="J38" s="4">
        <v>8.7031025037863884E-3</v>
      </c>
      <c r="K38">
        <f t="shared" si="40"/>
        <v>-1.8506101494354352</v>
      </c>
      <c r="L38">
        <f t="shared" si="41"/>
        <v>-2.5346029780752914</v>
      </c>
      <c r="M38">
        <f>LOG(F38/F$40,2)</f>
        <v>-0.56838507343841993</v>
      </c>
      <c r="N38">
        <f t="shared" si="42"/>
        <v>-4.6790650644894093E-2</v>
      </c>
      <c r="O38">
        <f>LOG(H38/H$40,2)</f>
        <v>-0.51460435273185345</v>
      </c>
      <c r="P38">
        <f t="shared" si="43"/>
        <v>-2.5693875770090822</v>
      </c>
      <c r="Q38" s="4">
        <f t="shared" si="44"/>
        <v>-2.2766328038184085</v>
      </c>
      <c r="S38" s="80"/>
      <c r="T38">
        <v>6.1320923657227515E-5</v>
      </c>
      <c r="U38">
        <v>9.197023763063715E-3</v>
      </c>
      <c r="V38">
        <v>0.20795206216680848</v>
      </c>
      <c r="W38">
        <v>1.7829934258935718E-3</v>
      </c>
      <c r="Y38" s="4">
        <v>6.0834083474684556E-5</v>
      </c>
      <c r="AA38">
        <f t="shared" ref="AA38:AD39" si="45">LOG(T38/T$40,2)</f>
        <v>-5.4210855601792831</v>
      </c>
      <c r="AB38">
        <f t="shared" si="45"/>
        <v>-5.1323351151884742</v>
      </c>
      <c r="AC38">
        <f t="shared" si="45"/>
        <v>-4.8589349691242019</v>
      </c>
      <c r="AD38">
        <f t="shared" si="45"/>
        <v>-4.75055731021539</v>
      </c>
      <c r="AF38" s="4">
        <f>LOG(Y38/Y$40,2)</f>
        <v>-5.3366868451839098</v>
      </c>
    </row>
    <row r="39" spans="2:32" ht="15.75" thickBot="1" x14ac:dyDescent="0.3">
      <c r="B39" s="628"/>
      <c r="C39" s="64">
        <v>51</v>
      </c>
      <c r="D39" s="3">
        <v>1.6381308090170452</v>
      </c>
      <c r="E39" s="3">
        <v>0.24349901969230905</v>
      </c>
      <c r="F39" s="3"/>
      <c r="G39" s="3">
        <v>1.9109811974270595E-3</v>
      </c>
      <c r="H39" s="3"/>
      <c r="I39" s="3">
        <v>7.4200577503198183E-3</v>
      </c>
      <c r="J39" s="5">
        <v>6.2991049696712487E-2</v>
      </c>
      <c r="K39" s="3">
        <f t="shared" si="40"/>
        <v>1.9414376366847099</v>
      </c>
      <c r="L39" s="3">
        <f t="shared" si="41"/>
        <v>2.0203067015471969</v>
      </c>
      <c r="M39" s="3"/>
      <c r="N39" s="3">
        <f t="shared" si="42"/>
        <v>-0.68613402170107929</v>
      </c>
      <c r="O39" s="3"/>
      <c r="P39" s="3">
        <f t="shared" si="43"/>
        <v>-0.58788334023338185</v>
      </c>
      <c r="Q39" s="5">
        <f t="shared" si="44"/>
        <v>0.578912355685406</v>
      </c>
      <c r="S39" s="542"/>
      <c r="T39" s="3">
        <v>1.5320990087875762E-2</v>
      </c>
      <c r="U39" s="3">
        <v>1.4973492269055657</v>
      </c>
      <c r="V39" s="3">
        <v>34.298423822182514</v>
      </c>
      <c r="W39" s="3">
        <v>0.27617936631127737</v>
      </c>
      <c r="X39" s="3"/>
      <c r="Y39" s="5">
        <v>1.436367529075536E-2</v>
      </c>
      <c r="Z39" s="3"/>
      <c r="AA39" s="3">
        <f t="shared" si="45"/>
        <v>2.5438288279870753</v>
      </c>
      <c r="AB39" s="3">
        <f t="shared" si="45"/>
        <v>2.2146928419961487</v>
      </c>
      <c r="AC39" s="3">
        <f t="shared" si="45"/>
        <v>2.506812508172966</v>
      </c>
      <c r="AD39" s="3">
        <f t="shared" si="45"/>
        <v>2.5246030341337544</v>
      </c>
      <c r="AE39" s="3"/>
      <c r="AF39" s="5">
        <f>LOG(Y39/Y$40,2)</f>
        <v>2.5466425359434761</v>
      </c>
    </row>
    <row r="40" spans="2:32" ht="15.75" thickTop="1" x14ac:dyDescent="0.25">
      <c r="B40" s="628"/>
      <c r="C40" s="402" t="s">
        <v>408</v>
      </c>
      <c r="D40" s="162">
        <f>AVERAGE(D33:D39)</f>
        <v>0.42649860499606584</v>
      </c>
      <c r="E40" s="162">
        <f t="shared" ref="E40:Q40" si="46">AVERAGE(E33:E39)</f>
        <v>6.0023912384413826E-2</v>
      </c>
      <c r="F40" s="162">
        <f t="shared" si="46"/>
        <v>8.2034336570599145</v>
      </c>
      <c r="G40" s="162">
        <f t="shared" si="46"/>
        <v>3.0747041606467309E-3</v>
      </c>
      <c r="H40" s="162">
        <f t="shared" si="46"/>
        <v>5.2479041271020073</v>
      </c>
      <c r="I40" s="162">
        <f t="shared" si="46"/>
        <v>1.1152643109481681E-2</v>
      </c>
      <c r="J40" s="165">
        <f t="shared" si="46"/>
        <v>4.2170510812503892E-2</v>
      </c>
      <c r="K40" s="162">
        <f t="shared" si="46"/>
        <v>-1.1625296120201578</v>
      </c>
      <c r="L40" s="532">
        <f t="shared" si="46"/>
        <v>-1.3730015155593249</v>
      </c>
      <c r="M40" s="532">
        <f t="shared" si="46"/>
        <v>-6.9980610176109403E-2</v>
      </c>
      <c r="N40" s="532">
        <f t="shared" si="46"/>
        <v>-0.19681682442213558</v>
      </c>
      <c r="O40" s="532">
        <f t="shared" si="46"/>
        <v>-6.7876951417577616E-2</v>
      </c>
      <c r="P40" s="532">
        <f t="shared" si="46"/>
        <v>-1.3155856899372338</v>
      </c>
      <c r="Q40" s="165">
        <f t="shared" si="46"/>
        <v>-0.83637509914257591</v>
      </c>
      <c r="S40" s="257">
        <f>AVERAGE(S33:S39)</f>
        <v>1.2102628700681984E-3</v>
      </c>
      <c r="T40" s="162">
        <f t="shared" ref="T40:AE40" si="47">AVERAGE(T33:T39)</f>
        <v>2.6273507245485688E-3</v>
      </c>
      <c r="U40" s="162">
        <f t="shared" si="47"/>
        <v>0.32257754033498248</v>
      </c>
      <c r="V40" s="162">
        <f t="shared" si="47"/>
        <v>6.0345988284293197</v>
      </c>
      <c r="W40" s="162">
        <f t="shared" si="47"/>
        <v>4.799654635752678E-2</v>
      </c>
      <c r="X40" s="162">
        <f t="shared" si="47"/>
        <v>6.0296764107549369E-5</v>
      </c>
      <c r="Y40" s="165">
        <f t="shared" si="47"/>
        <v>2.4583843764835306E-3</v>
      </c>
      <c r="Z40" s="162">
        <f t="shared" si="47"/>
        <v>-1.3092061800821915</v>
      </c>
      <c r="AA40" s="532">
        <f t="shared" si="47"/>
        <v>-3.7703851389977365</v>
      </c>
      <c r="AB40" s="532">
        <f t="shared" si="47"/>
        <v>-2.1093569342619416</v>
      </c>
      <c r="AC40" s="532">
        <f t="shared" si="47"/>
        <v>-2.8734000819641836</v>
      </c>
      <c r="AD40" s="532">
        <f t="shared" si="47"/>
        <v>-3.1106020908489511</v>
      </c>
      <c r="AE40" s="532">
        <f t="shared" si="47"/>
        <v>-0.33920776036194278</v>
      </c>
      <c r="AF40" s="165">
        <f>AVERAGE(AF33:AF39)</f>
        <v>-3.454238632136442</v>
      </c>
    </row>
    <row r="41" spans="2:32" x14ac:dyDescent="0.25">
      <c r="B41" s="628"/>
      <c r="C41" s="132" t="s">
        <v>449</v>
      </c>
      <c r="D41" s="271"/>
      <c r="E41" s="271"/>
      <c r="F41" s="271"/>
      <c r="G41" s="271"/>
      <c r="H41" s="271"/>
      <c r="I41" s="271"/>
      <c r="J41" s="384"/>
      <c r="K41">
        <f t="shared" ref="K41:Q41" si="48">K40+2*STDEV(K33:K39)</f>
        <v>2.5365508700393158</v>
      </c>
      <c r="L41">
        <f t="shared" si="48"/>
        <v>2.6106603228908729</v>
      </c>
      <c r="M41">
        <f t="shared" si="48"/>
        <v>0.94086526629129286</v>
      </c>
      <c r="N41">
        <f t="shared" si="48"/>
        <v>1.5467263448482886</v>
      </c>
      <c r="O41">
        <f t="shared" si="48"/>
        <v>0.93101435159682144</v>
      </c>
      <c r="P41">
        <f t="shared" si="48"/>
        <v>2.7467140402902022</v>
      </c>
      <c r="Q41" s="4">
        <f t="shared" si="48"/>
        <v>2.7459985323654377</v>
      </c>
      <c r="S41" s="496"/>
      <c r="T41" s="271"/>
      <c r="U41" s="271"/>
      <c r="V41" s="271"/>
      <c r="W41" s="271"/>
      <c r="X41" s="271"/>
      <c r="Y41" s="384"/>
      <c r="Z41">
        <f>Z40+2*STDEV(Z33:Z39)</f>
        <v>5.0449147415812057</v>
      </c>
      <c r="AA41">
        <f t="shared" ref="AA41:AF41" si="49">AA40+2*STDEV(AA33:AA39)</f>
        <v>3.3735152699240678</v>
      </c>
      <c r="AB41">
        <f t="shared" si="49"/>
        <v>4.579643005819479</v>
      </c>
      <c r="AC41">
        <f t="shared" si="49"/>
        <v>3.2951136020675054</v>
      </c>
      <c r="AD41">
        <f t="shared" si="49"/>
        <v>3.2040794351628823</v>
      </c>
      <c r="AE41">
        <f t="shared" si="49"/>
        <v>2.5698338101184288</v>
      </c>
      <c r="AF41" s="4">
        <f t="shared" si="49"/>
        <v>3.2931443980156514</v>
      </c>
    </row>
    <row r="42" spans="2:32" ht="15.75" thickBot="1" x14ac:dyDescent="0.3">
      <c r="B42" s="629"/>
      <c r="C42" s="203" t="s">
        <v>450</v>
      </c>
      <c r="D42" s="276"/>
      <c r="E42" s="276"/>
      <c r="F42" s="276"/>
      <c r="G42" s="276"/>
      <c r="H42" s="276"/>
      <c r="I42" s="276"/>
      <c r="J42" s="425"/>
      <c r="K42" s="81">
        <f>K40-2*STDEV(K33:K39)</f>
        <v>-4.8616100940796318</v>
      </c>
      <c r="L42" s="6">
        <f t="shared" ref="L42:Q42" si="50">L40-2*STDEV(L33:L39)</f>
        <v>-5.3566633540095232</v>
      </c>
      <c r="M42" s="6">
        <f t="shared" si="50"/>
        <v>-1.0808264866435116</v>
      </c>
      <c r="N42" s="6">
        <f t="shared" si="50"/>
        <v>-1.9403599936925597</v>
      </c>
      <c r="O42" s="6">
        <f t="shared" si="50"/>
        <v>-1.0667682544319768</v>
      </c>
      <c r="P42" s="6">
        <f t="shared" si="50"/>
        <v>-5.3778854201646702</v>
      </c>
      <c r="Q42" s="7">
        <f t="shared" si="50"/>
        <v>-4.4187487306505897</v>
      </c>
      <c r="S42" s="497"/>
      <c r="T42" s="276"/>
      <c r="U42" s="276"/>
      <c r="V42" s="276"/>
      <c r="W42" s="276"/>
      <c r="X42" s="276"/>
      <c r="Y42" s="425"/>
      <c r="Z42" s="81">
        <f>Z40-2*STDEV(Z33:Z39)</f>
        <v>-7.6633271017455886</v>
      </c>
      <c r="AA42" s="6">
        <f t="shared" ref="AA42:AF42" si="51">AA40-2*STDEV(AA33:AA39)</f>
        <v>-10.91428554791954</v>
      </c>
      <c r="AB42" s="6">
        <f t="shared" si="51"/>
        <v>-8.7983568743433622</v>
      </c>
      <c r="AC42" s="6">
        <f t="shared" si="51"/>
        <v>-9.0419137659958722</v>
      </c>
      <c r="AD42" s="6">
        <f t="shared" si="51"/>
        <v>-9.425283616860785</v>
      </c>
      <c r="AE42" s="6">
        <f t="shared" si="51"/>
        <v>-3.2482493308423144</v>
      </c>
      <c r="AF42" s="7">
        <f t="shared" si="51"/>
        <v>-10.201621662288535</v>
      </c>
    </row>
    <row r="43" spans="2:32" x14ac:dyDescent="0.25">
      <c r="B43" s="627" t="s">
        <v>94</v>
      </c>
      <c r="C43" s="62">
        <v>15</v>
      </c>
      <c r="D43" s="455"/>
      <c r="E43" s="455"/>
      <c r="F43" s="455"/>
      <c r="G43" s="455"/>
      <c r="H43" s="455"/>
      <c r="I43" s="455"/>
      <c r="J43" s="462"/>
      <c r="K43" s="8"/>
      <c r="L43" s="8"/>
      <c r="M43" s="8"/>
      <c r="N43" s="8"/>
      <c r="O43" s="8"/>
      <c r="P43" s="8"/>
      <c r="Q43" s="9"/>
      <c r="S43" s="469">
        <v>1.0154438749134628E-3</v>
      </c>
      <c r="T43" s="455">
        <v>1.7777260624083106E-3</v>
      </c>
      <c r="U43" s="455">
        <v>0.10250706639261015</v>
      </c>
      <c r="V43" s="455">
        <v>3.0445992277928902</v>
      </c>
      <c r="W43" s="455">
        <v>1.9711649959944628E-2</v>
      </c>
      <c r="X43" s="455">
        <v>6.3169105892995264E-5</v>
      </c>
      <c r="Y43" s="462">
        <v>2.7002926862334589E-3</v>
      </c>
      <c r="Z43" s="8">
        <f t="shared" ref="Z43:Z48" si="52">LOG(S43/S$40,2)</f>
        <v>-0.25320993411121401</v>
      </c>
      <c r="AA43" s="8">
        <f t="shared" ref="AA43:AF43" si="53">LOG(T43/T$40,2)</f>
        <v>-0.56357576831387901</v>
      </c>
      <c r="AB43" s="8">
        <f t="shared" si="53"/>
        <v>-1.6539226271383882</v>
      </c>
      <c r="AC43" s="8">
        <f t="shared" si="53"/>
        <v>-0.98700553266847202</v>
      </c>
      <c r="AD43" s="8">
        <f t="shared" si="53"/>
        <v>-1.2838820569621998</v>
      </c>
      <c r="AE43" s="8">
        <f t="shared" si="53"/>
        <v>6.7138571815229947E-2</v>
      </c>
      <c r="AF43" s="9">
        <f t="shared" si="53"/>
        <v>0.13540528681151512</v>
      </c>
    </row>
    <row r="44" spans="2:32" x14ac:dyDescent="0.25">
      <c r="B44" s="628"/>
      <c r="C44" s="60">
        <v>16</v>
      </c>
      <c r="D44" s="456">
        <v>8.3717878761346599E-3</v>
      </c>
      <c r="E44" s="456">
        <v>5.0018585097461737E-3</v>
      </c>
      <c r="F44" s="456">
        <v>2.2260458278568991E-2</v>
      </c>
      <c r="G44" s="456">
        <v>1.4273229683631686E-2</v>
      </c>
      <c r="H44" s="456">
        <v>8.6637255373149275E-3</v>
      </c>
      <c r="I44" s="456">
        <v>6.9418941116763683E-3</v>
      </c>
      <c r="J44" s="464">
        <v>1.6705209427886871E-6</v>
      </c>
      <c r="K44">
        <f>LOG(D44/D$40,2)</f>
        <v>-5.670861455382239</v>
      </c>
      <c r="L44">
        <f t="shared" ref="L44:Q44" si="54">LOG(E44/E$40,2)</f>
        <v>-3.58500120456348</v>
      </c>
      <c r="M44">
        <f t="shared" si="54"/>
        <v>-8.5256007913434466</v>
      </c>
      <c r="N44">
        <f t="shared" si="54"/>
        <v>2.2147923082422496</v>
      </c>
      <c r="O44">
        <f t="shared" si="54"/>
        <v>-9.2425381087745624</v>
      </c>
      <c r="P44">
        <f t="shared" si="54"/>
        <v>-0.68398439646455389</v>
      </c>
      <c r="Q44" s="4">
        <f t="shared" si="54"/>
        <v>-14.623648807281002</v>
      </c>
      <c r="S44" s="470">
        <v>2.1490579689475471E-4</v>
      </c>
      <c r="T44" s="456">
        <v>6.6561106153425927E-3</v>
      </c>
      <c r="U44" s="456">
        <v>0.15896970362114873</v>
      </c>
      <c r="V44" s="456">
        <v>8.6255812224549757</v>
      </c>
      <c r="W44" s="456">
        <v>2.8391150590083736E-2</v>
      </c>
      <c r="X44" s="456">
        <v>8.1071613519243511E-4</v>
      </c>
      <c r="Y44" s="464">
        <v>7.9831332805780919E-3</v>
      </c>
      <c r="Z44">
        <f t="shared" si="52"/>
        <v>-2.4935441322253986</v>
      </c>
      <c r="AA44">
        <f t="shared" ref="AA44:AF48" si="55">LOG(T44/T$40,2)</f>
        <v>1.3410706108588903</v>
      </c>
      <c r="AB44">
        <f t="shared" si="55"/>
        <v>-1.0208941499411062</v>
      </c>
      <c r="AC44">
        <f t="shared" si="55"/>
        <v>0.51536380814764626</v>
      </c>
      <c r="AD44">
        <f t="shared" si="55"/>
        <v>-0.75748928148402883</v>
      </c>
      <c r="AE44">
        <f t="shared" si="55"/>
        <v>3.7490443709495649</v>
      </c>
      <c r="AF44" s="4">
        <f t="shared" si="55"/>
        <v>1.6992445940060825</v>
      </c>
    </row>
    <row r="45" spans="2:32" x14ac:dyDescent="0.25">
      <c r="B45" s="628"/>
      <c r="C45" s="60">
        <v>27</v>
      </c>
      <c r="D45" s="456">
        <v>4.4604610595758518E-3</v>
      </c>
      <c r="E45" s="456">
        <v>2.2157813112401881E-3</v>
      </c>
      <c r="F45" s="456">
        <v>3.9247490696457362E-3</v>
      </c>
      <c r="G45" s="456">
        <v>1.0468371829629151E-2</v>
      </c>
      <c r="H45" s="456">
        <v>1.4699371020461276E-3</v>
      </c>
      <c r="I45" s="456">
        <v>2.5513712128770413E-3</v>
      </c>
      <c r="J45" s="464">
        <v>1.7379969460035456</v>
      </c>
      <c r="K45">
        <f t="shared" ref="K45:K56" si="56">LOG(D45/D$40,2)</f>
        <v>-6.5792043691914905</v>
      </c>
      <c r="L45">
        <f t="shared" ref="L45:L56" si="57">LOG(E45/E$40,2)</f>
        <v>-4.7596499521927571</v>
      </c>
      <c r="M45">
        <f t="shared" ref="M45:M56" si="58">LOG(F45/F$40,2)</f>
        <v>-11.029411762456457</v>
      </c>
      <c r="N45">
        <f t="shared" ref="N45:N56" si="59">LOG(G45/G$40,2)</f>
        <v>1.7675175637817524</v>
      </c>
      <c r="O45">
        <f t="shared" ref="O45:O56" si="60">LOG(H45/H$40,2)</f>
        <v>-11.80177122445108</v>
      </c>
      <c r="P45">
        <f>LOG(I45/I$40,2)</f>
        <v>-2.1280409358589965</v>
      </c>
      <c r="Q45" s="4">
        <f t="shared" ref="Q45:Q56" si="61">LOG(J45/J$40,2)</f>
        <v>5.3650472397095479</v>
      </c>
      <c r="S45" s="470">
        <v>2.5860253636547078E-4</v>
      </c>
      <c r="T45" s="456">
        <v>1.4562069703217963E-2</v>
      </c>
      <c r="U45" s="456">
        <v>0.24807620956072163</v>
      </c>
      <c r="V45" s="456">
        <v>11.366813222040381</v>
      </c>
      <c r="W45" s="456">
        <v>4.1513122044552986E-2</v>
      </c>
      <c r="X45" s="456">
        <v>2.9957461494002841E-4</v>
      </c>
      <c r="Y45" s="464">
        <v>2.1928399620292083E-2</v>
      </c>
      <c r="Z45">
        <f t="shared" si="52"/>
        <v>-2.2265121058203787</v>
      </c>
      <c r="AA45">
        <f t="shared" si="55"/>
        <v>2.4705347164585314</v>
      </c>
      <c r="AB45">
        <f t="shared" si="55"/>
        <v>-0.37886260562462198</v>
      </c>
      <c r="AC45">
        <f t="shared" si="55"/>
        <v>0.91349806874187911</v>
      </c>
      <c r="AD45">
        <f t="shared" si="55"/>
        <v>-0.20936316326735538</v>
      </c>
      <c r="AE45">
        <f t="shared" si="55"/>
        <v>2.3127628938057274</v>
      </c>
      <c r="AF45" s="4">
        <f t="shared" si="55"/>
        <v>3.1570181164275781</v>
      </c>
    </row>
    <row r="46" spans="2:32" x14ac:dyDescent="0.25">
      <c r="B46" s="628"/>
      <c r="C46" s="60">
        <v>28</v>
      </c>
      <c r="D46" s="456">
        <v>1.8466375480245448E-2</v>
      </c>
      <c r="E46" s="456">
        <v>1.0389049471530552E-2</v>
      </c>
      <c r="F46" s="456">
        <v>0.11532996110321077</v>
      </c>
      <c r="G46" s="456">
        <v>3.5272110412468198E-4</v>
      </c>
      <c r="H46" s="456">
        <v>5.2753595105906645E-2</v>
      </c>
      <c r="I46" s="456"/>
      <c r="J46" s="464">
        <v>0.83807861295600417</v>
      </c>
      <c r="K46">
        <f t="shared" si="56"/>
        <v>-4.529568390985717</v>
      </c>
      <c r="L46">
        <f t="shared" si="57"/>
        <v>-2.5304736941408335</v>
      </c>
      <c r="M46">
        <f t="shared" si="58"/>
        <v>-6.152388636788471</v>
      </c>
      <c r="N46">
        <f t="shared" si="59"/>
        <v>-3.1238478018242541</v>
      </c>
      <c r="O46">
        <f t="shared" si="60"/>
        <v>-6.6363281382418409</v>
      </c>
      <c r="Q46" s="4">
        <f t="shared" si="61"/>
        <v>4.3127791748632953</v>
      </c>
      <c r="S46" s="470">
        <v>1.3458311942551038E-3</v>
      </c>
      <c r="T46" s="456">
        <v>6.6499002821700133E-3</v>
      </c>
      <c r="U46" s="456">
        <v>6.3449495094981753E-2</v>
      </c>
      <c r="V46" s="456">
        <v>5.9932063262155975</v>
      </c>
      <c r="W46" s="456">
        <v>6.1357589267143055E-2</v>
      </c>
      <c r="X46" s="456">
        <v>1.5609216403757887E-3</v>
      </c>
      <c r="Y46" s="464">
        <v>8.5331790583336575E-3</v>
      </c>
      <c r="Z46">
        <f t="shared" si="52"/>
        <v>0.15317702999482735</v>
      </c>
      <c r="AA46">
        <f t="shared" si="55"/>
        <v>1.3397239085917807</v>
      </c>
      <c r="AB46">
        <f t="shared" si="55"/>
        <v>-2.3459654045865301</v>
      </c>
      <c r="AC46">
        <f t="shared" si="55"/>
        <v>-9.9298238796297327E-3</v>
      </c>
      <c r="AD46">
        <f t="shared" si="55"/>
        <v>0.35431120171220976</v>
      </c>
      <c r="AE46">
        <f t="shared" si="55"/>
        <v>4.6941737239824937</v>
      </c>
      <c r="AF46" s="4">
        <f t="shared" si="55"/>
        <v>1.7953728180638193</v>
      </c>
    </row>
    <row r="47" spans="2:32" x14ac:dyDescent="0.25">
      <c r="B47" s="628"/>
      <c r="C47" s="60">
        <v>35</v>
      </c>
      <c r="D47" s="456">
        <v>1.0225156607089531E-2</v>
      </c>
      <c r="E47" s="456">
        <v>7.9295379297698275E-3</v>
      </c>
      <c r="F47" s="456">
        <v>0.22203461356620252</v>
      </c>
      <c r="G47" s="456">
        <v>7.9271572185492505E-4</v>
      </c>
      <c r="H47" s="456">
        <v>4.8328746799426926E-2</v>
      </c>
      <c r="I47" s="456"/>
      <c r="J47" s="464">
        <v>0.64841305375010405</v>
      </c>
      <c r="K47">
        <f t="shared" si="56"/>
        <v>-5.3823461781754354</v>
      </c>
      <c r="L47">
        <f t="shared" si="57"/>
        <v>-2.9202286527538042</v>
      </c>
      <c r="M47">
        <f t="shared" si="58"/>
        <v>-5.2073713906942638</v>
      </c>
      <c r="N47">
        <f t="shared" si="59"/>
        <v>-1.955572110462362</v>
      </c>
      <c r="O47">
        <f t="shared" si="60"/>
        <v>-6.7627159685792941</v>
      </c>
      <c r="Q47" s="4">
        <f t="shared" si="61"/>
        <v>3.94260673302015</v>
      </c>
      <c r="S47" s="470">
        <v>7.4835348251753205E-3</v>
      </c>
      <c r="T47" s="456">
        <v>5.407313054630567E-3</v>
      </c>
      <c r="U47" s="456">
        <v>7.896894472502107E-2</v>
      </c>
      <c r="V47" s="456">
        <v>4.7422139667586478</v>
      </c>
      <c r="W47" s="456">
        <v>6.803962379722274E-2</v>
      </c>
      <c r="X47" s="456">
        <v>4.7092356540080343E-3</v>
      </c>
      <c r="Y47" s="464">
        <v>6.1140649860714595E-3</v>
      </c>
      <c r="Z47">
        <f t="shared" si="52"/>
        <v>2.6283994477119932</v>
      </c>
      <c r="AA47">
        <f t="shared" si="55"/>
        <v>1.0413030847845597</v>
      </c>
      <c r="AB47">
        <f t="shared" si="55"/>
        <v>-2.0302886768027886</v>
      </c>
      <c r="AC47">
        <f t="shared" si="55"/>
        <v>-0.34769710774819279</v>
      </c>
      <c r="AD47">
        <f t="shared" si="55"/>
        <v>0.5034445651999675</v>
      </c>
      <c r="AE47">
        <f t="shared" si="55"/>
        <v>6.287268527479851</v>
      </c>
      <c r="AF47" s="4">
        <f t="shared" si="55"/>
        <v>1.3144213831734426</v>
      </c>
    </row>
    <row r="48" spans="2:32" ht="15.75" thickBot="1" x14ac:dyDescent="0.3">
      <c r="B48" s="628"/>
      <c r="C48" s="61">
        <v>36</v>
      </c>
      <c r="D48" s="529"/>
      <c r="E48" s="529"/>
      <c r="F48" s="529"/>
      <c r="G48" s="529"/>
      <c r="H48" s="529"/>
      <c r="I48" s="529"/>
      <c r="J48" s="530"/>
      <c r="K48" s="3"/>
      <c r="L48" s="3"/>
      <c r="M48" s="3"/>
      <c r="N48" s="3"/>
      <c r="O48" s="3"/>
      <c r="P48" s="3"/>
      <c r="Q48" s="5"/>
      <c r="S48" s="544">
        <v>5.7783290029460679E-4</v>
      </c>
      <c r="T48" s="529">
        <v>0.22466569405830805</v>
      </c>
      <c r="U48" s="529">
        <v>0.44264771454423779</v>
      </c>
      <c r="V48" s="529">
        <v>9.4369239742855306</v>
      </c>
      <c r="W48" s="529">
        <v>1.1484435717304751E-2</v>
      </c>
      <c r="X48" s="529">
        <v>2.8555514453242368E-4</v>
      </c>
      <c r="Y48" s="530">
        <v>1.6482741936919804E-2</v>
      </c>
      <c r="Z48" s="542">
        <f t="shared" si="52"/>
        <v>-1.0665961814202678</v>
      </c>
      <c r="AA48" s="3">
        <f t="shared" si="55"/>
        <v>6.4180272364376814</v>
      </c>
      <c r="AB48" s="3">
        <f t="shared" si="55"/>
        <v>0.4565129792252442</v>
      </c>
      <c r="AC48" s="3">
        <f t="shared" si="55"/>
        <v>0.6450588146898284</v>
      </c>
      <c r="AD48" s="3">
        <f t="shared" si="55"/>
        <v>-2.0632506266431925</v>
      </c>
      <c r="AE48" s="3">
        <f t="shared" si="55"/>
        <v>2.2436168907829832</v>
      </c>
      <c r="AF48" s="5">
        <f t="shared" si="55"/>
        <v>2.7451738491016107</v>
      </c>
    </row>
    <row r="49" spans="2:32" ht="15.75" thickTop="1" x14ac:dyDescent="0.25">
      <c r="B49" s="628"/>
      <c r="C49" s="534" t="s">
        <v>408</v>
      </c>
      <c r="D49" s="535">
        <f>AVERAGE(D43:D48)</f>
        <v>1.0380945255761373E-2</v>
      </c>
      <c r="E49" s="535">
        <f t="shared" ref="E49:Q49" si="62">AVERAGE(E43:E48)</f>
        <v>6.3840568055716857E-3</v>
      </c>
      <c r="F49" s="535">
        <f t="shared" si="62"/>
        <v>9.0887445504407E-2</v>
      </c>
      <c r="G49" s="535">
        <f t="shared" si="62"/>
        <v>6.4717595848101115E-3</v>
      </c>
      <c r="H49" s="535">
        <f t="shared" si="62"/>
        <v>2.7804001136173657E-2</v>
      </c>
      <c r="I49" s="535">
        <f t="shared" si="62"/>
        <v>4.7466326622767046E-3</v>
      </c>
      <c r="J49" s="536">
        <f t="shared" si="62"/>
        <v>0.80612257080764915</v>
      </c>
      <c r="K49" s="537">
        <f t="shared" si="62"/>
        <v>-5.5404950984337207</v>
      </c>
      <c r="L49" s="535">
        <f t="shared" si="62"/>
        <v>-3.4488383759127186</v>
      </c>
      <c r="M49" s="535">
        <f t="shared" si="62"/>
        <v>-7.7286931453206602</v>
      </c>
      <c r="N49" s="535">
        <f t="shared" si="62"/>
        <v>-0.27427751006565348</v>
      </c>
      <c r="O49" s="535">
        <f t="shared" si="62"/>
        <v>-8.6108383600116944</v>
      </c>
      <c r="P49" s="535">
        <f t="shared" si="62"/>
        <v>-1.4060126661617751</v>
      </c>
      <c r="Q49" s="538">
        <f t="shared" si="62"/>
        <v>-0.25080391492200205</v>
      </c>
      <c r="R49" s="456"/>
      <c r="S49" s="545">
        <f>AVERAGE(S43:S48)</f>
        <v>1.8160251879831199E-3</v>
      </c>
      <c r="T49" s="535">
        <f t="shared" ref="T49:AF49" si="63">AVERAGE(T43:T48)</f>
        <v>4.328646896267959E-2</v>
      </c>
      <c r="U49" s="535">
        <f t="shared" si="63"/>
        <v>0.18243652232312021</v>
      </c>
      <c r="V49" s="535">
        <f t="shared" si="63"/>
        <v>7.2015563232580035</v>
      </c>
      <c r="W49" s="535">
        <f t="shared" si="63"/>
        <v>3.8416261896041984E-2</v>
      </c>
      <c r="X49" s="535">
        <f t="shared" si="63"/>
        <v>1.2881953824902842E-3</v>
      </c>
      <c r="Y49" s="536">
        <f t="shared" si="63"/>
        <v>1.0623635261404758E-2</v>
      </c>
      <c r="Z49" s="537">
        <f t="shared" si="63"/>
        <v>-0.54304764597840649</v>
      </c>
      <c r="AA49" s="535">
        <f t="shared" si="63"/>
        <v>2.0078472981362609</v>
      </c>
      <c r="AB49" s="535">
        <f t="shared" si="63"/>
        <v>-1.1622367474780317</v>
      </c>
      <c r="AC49" s="535">
        <f t="shared" si="63"/>
        <v>0.12154803788050987</v>
      </c>
      <c r="AD49" s="535">
        <f t="shared" si="63"/>
        <v>-0.57603822690743323</v>
      </c>
      <c r="AE49" s="535">
        <f t="shared" si="63"/>
        <v>3.2256674964693084</v>
      </c>
      <c r="AF49" s="538">
        <f t="shared" si="63"/>
        <v>1.8077726745973415</v>
      </c>
    </row>
    <row r="50" spans="2:32" x14ac:dyDescent="0.25">
      <c r="B50" s="628"/>
      <c r="C50" s="132" t="s">
        <v>449</v>
      </c>
      <c r="D50" s="548"/>
      <c r="E50" s="548"/>
      <c r="F50" s="548"/>
      <c r="G50" s="548"/>
      <c r="H50" s="548"/>
      <c r="I50" s="548"/>
      <c r="J50" s="549"/>
      <c r="K50">
        <f t="shared" ref="K50:Q50" si="64">K49+2*STDEV(K43:K48)</f>
        <v>-3.8501711748448337</v>
      </c>
      <c r="L50">
        <f t="shared" si="64"/>
        <v>-1.4962028125232223</v>
      </c>
      <c r="M50">
        <f t="shared" si="64"/>
        <v>-2.5169622134366252</v>
      </c>
      <c r="N50">
        <f t="shared" si="64"/>
        <v>5.0562881966231714</v>
      </c>
      <c r="O50">
        <f t="shared" si="64"/>
        <v>-3.726121499225882</v>
      </c>
      <c r="P50">
        <f t="shared" si="64"/>
        <v>0.63619167668340371</v>
      </c>
      <c r="Q50" s="4">
        <f t="shared" si="64"/>
        <v>18.950843166181421</v>
      </c>
      <c r="R50" s="456"/>
      <c r="S50" s="547"/>
      <c r="T50" s="548"/>
      <c r="U50" s="548"/>
      <c r="V50" s="548"/>
      <c r="W50" s="548"/>
      <c r="X50" s="548"/>
      <c r="Y50" s="549"/>
      <c r="Z50">
        <f>Z49+2*STDEV(Z43:Z48)</f>
        <v>3.2028197906624505</v>
      </c>
      <c r="AA50">
        <f t="shared" ref="AA50:AF50" si="65">AA49+2*STDEV(AA43:AA48)</f>
        <v>6.7492539293087894</v>
      </c>
      <c r="AB50">
        <f t="shared" si="65"/>
        <v>0.96388387819242749</v>
      </c>
      <c r="AC50">
        <f t="shared" si="65"/>
        <v>1.5421697888991079</v>
      </c>
      <c r="AD50">
        <f t="shared" si="65"/>
        <v>1.4060923146998943</v>
      </c>
      <c r="AE50">
        <f t="shared" si="65"/>
        <v>7.5687500828026799</v>
      </c>
      <c r="AF50" s="4">
        <f t="shared" si="65"/>
        <v>3.9527807401224564</v>
      </c>
    </row>
    <row r="51" spans="2:32" ht="15.75" thickBot="1" x14ac:dyDescent="0.3">
      <c r="B51" s="629"/>
      <c r="C51" s="203" t="s">
        <v>450</v>
      </c>
      <c r="D51" s="551"/>
      <c r="E51" s="551"/>
      <c r="F51" s="551"/>
      <c r="G51" s="551"/>
      <c r="H51" s="551"/>
      <c r="I51" s="551"/>
      <c r="J51" s="552"/>
      <c r="K51" s="81">
        <f>K49-2*STDEV(K43:K48)</f>
        <v>-7.2308190220226081</v>
      </c>
      <c r="L51" s="6">
        <f t="shared" ref="L51:Q51" si="66">L49-2*STDEV(L43:L48)</f>
        <v>-5.4014739393022149</v>
      </c>
      <c r="M51" s="6">
        <f t="shared" si="66"/>
        <v>-12.940424077204696</v>
      </c>
      <c r="N51" s="6">
        <f t="shared" si="66"/>
        <v>-5.6048432167544782</v>
      </c>
      <c r="O51" s="6">
        <f t="shared" si="66"/>
        <v>-13.495555220797506</v>
      </c>
      <c r="P51" s="6">
        <f t="shared" si="66"/>
        <v>-3.4482170090069539</v>
      </c>
      <c r="Q51" s="7">
        <f t="shared" si="66"/>
        <v>-19.452450996025426</v>
      </c>
      <c r="R51" s="456"/>
      <c r="S51" s="550"/>
      <c r="T51" s="551"/>
      <c r="U51" s="551"/>
      <c r="V51" s="551"/>
      <c r="W51" s="551"/>
      <c r="X51" s="551"/>
      <c r="Y51" s="552"/>
      <c r="Z51" s="81">
        <f>Z49-2*STDEV(Z43:Z48)</f>
        <v>-4.2889150826192637</v>
      </c>
      <c r="AA51" s="6">
        <f t="shared" ref="AA51:AF51" si="67">AA49-2*STDEV(AA43:AA48)</f>
        <v>-2.733559333036268</v>
      </c>
      <c r="AB51" s="6">
        <f t="shared" si="67"/>
        <v>-3.2883573731484912</v>
      </c>
      <c r="AC51" s="6">
        <f t="shared" si="67"/>
        <v>-1.2990737131380883</v>
      </c>
      <c r="AD51" s="6">
        <f t="shared" si="67"/>
        <v>-2.5581687685147605</v>
      </c>
      <c r="AE51" s="6">
        <f t="shared" si="67"/>
        <v>-1.1174150898640636</v>
      </c>
      <c r="AF51" s="7">
        <f t="shared" si="67"/>
        <v>-0.33723539092777344</v>
      </c>
    </row>
    <row r="52" spans="2:32" x14ac:dyDescent="0.25">
      <c r="B52" s="627" t="s">
        <v>144</v>
      </c>
      <c r="C52" s="62">
        <v>19</v>
      </c>
      <c r="D52" s="8">
        <v>8.4597056560715041E-3</v>
      </c>
      <c r="E52" s="8">
        <v>1.8803191967070713E-3</v>
      </c>
      <c r="F52" s="8">
        <v>0.43995203635466251</v>
      </c>
      <c r="G52" s="8">
        <v>2.5580125749891179E-4</v>
      </c>
      <c r="H52" s="8">
        <v>9.3804962413047491E-2</v>
      </c>
      <c r="I52" s="455"/>
      <c r="J52" s="9">
        <v>1.3306908426646076</v>
      </c>
      <c r="K52" s="8">
        <f t="shared" si="56"/>
        <v>-5.6557897449066914</v>
      </c>
      <c r="L52" s="8">
        <f t="shared" si="57"/>
        <v>-4.9964878625868243</v>
      </c>
      <c r="M52" s="8">
        <f t="shared" si="58"/>
        <v>-4.2208097409017551</v>
      </c>
      <c r="N52" s="8">
        <f t="shared" si="59"/>
        <v>-3.5873523435607</v>
      </c>
      <c r="O52" s="8">
        <f t="shared" si="60"/>
        <v>-5.8059333083331328</v>
      </c>
      <c r="P52" s="8"/>
      <c r="Q52" s="9">
        <f t="shared" si="61"/>
        <v>4.9797971237318546</v>
      </c>
      <c r="S52" s="375">
        <v>9.0016301368748379E-3</v>
      </c>
      <c r="T52" s="8">
        <v>1.2753159973529427E-2</v>
      </c>
      <c r="U52" s="8">
        <v>5.2326871179610573E-2</v>
      </c>
      <c r="V52" s="8">
        <v>7.3926985454398348</v>
      </c>
      <c r="W52" s="8">
        <v>0.1163467365947847</v>
      </c>
      <c r="X52" s="455">
        <v>2.3951046368279657E-3</v>
      </c>
      <c r="Y52" s="8">
        <v>7.5584009001393006E-3</v>
      </c>
      <c r="Z52" s="375">
        <f t="shared" ref="Z52:AF53" si="68">LOG(S52/S$40,2)</f>
        <v>2.8948658517651609</v>
      </c>
      <c r="AA52" s="8">
        <f t="shared" si="68"/>
        <v>2.27917405832632</v>
      </c>
      <c r="AB52" s="8">
        <f t="shared" si="68"/>
        <v>-2.6240220909539023</v>
      </c>
      <c r="AC52" s="8">
        <f t="shared" si="68"/>
        <v>0.29284321942684188</v>
      </c>
      <c r="AD52" s="8">
        <f t="shared" si="68"/>
        <v>1.2774282411850046</v>
      </c>
      <c r="AE52" s="8">
        <f t="shared" si="68"/>
        <v>5.3118642948909098</v>
      </c>
      <c r="AF52" s="9">
        <f t="shared" si="68"/>
        <v>1.6203705381982818</v>
      </c>
    </row>
    <row r="53" spans="2:32" x14ac:dyDescent="0.25">
      <c r="B53" s="628"/>
      <c r="C53" s="60">
        <v>20</v>
      </c>
      <c r="D53">
        <v>3.6144969789982466E-3</v>
      </c>
      <c r="E53">
        <v>5.8129598044893444E-3</v>
      </c>
      <c r="F53">
        <v>0.29417374351227032</v>
      </c>
      <c r="G53">
        <v>1.5787342276076563E-4</v>
      </c>
      <c r="H53">
        <v>3.8042002461278611E-2</v>
      </c>
      <c r="I53" s="456"/>
      <c r="J53" s="4">
        <v>0.76617948824939242</v>
      </c>
      <c r="K53">
        <f t="shared" si="56"/>
        <v>-6.8826023278306323</v>
      </c>
      <c r="L53">
        <f t="shared" si="57"/>
        <v>-3.3681925197286477</v>
      </c>
      <c r="M53">
        <f t="shared" si="58"/>
        <v>-4.8014875058246211</v>
      </c>
      <c r="N53">
        <f t="shared" si="59"/>
        <v>-4.2836073791771936</v>
      </c>
      <c r="O53">
        <f t="shared" si="60"/>
        <v>-7.1080043646481244</v>
      </c>
      <c r="Q53" s="4">
        <f t="shared" si="61"/>
        <v>4.1833760009744543</v>
      </c>
      <c r="S53" s="80">
        <v>1.0960192060179031E-2</v>
      </c>
      <c r="T53">
        <v>7.4440004843105423E-3</v>
      </c>
      <c r="U53">
        <v>5.3633428701053358E-2</v>
      </c>
      <c r="V53">
        <v>3.4429582761343589</v>
      </c>
      <c r="W53">
        <v>7.0914688648592461E-2</v>
      </c>
      <c r="X53" s="456">
        <v>2.9885811786010056E-3</v>
      </c>
      <c r="Y53">
        <v>5.6207013700269072E-3</v>
      </c>
      <c r="Z53" s="80">
        <f t="shared" si="68"/>
        <v>3.1788807383178344</v>
      </c>
      <c r="AA53">
        <f t="shared" si="68"/>
        <v>1.5024693508461484</v>
      </c>
      <c r="AB53">
        <f t="shared" si="68"/>
        <v>-2.5884416027811463</v>
      </c>
      <c r="AC53">
        <f t="shared" si="68"/>
        <v>-0.80960916829161722</v>
      </c>
      <c r="AD53">
        <f t="shared" si="68"/>
        <v>0.56315388673996325</v>
      </c>
      <c r="AE53">
        <f t="shared" si="68"/>
        <v>5.6312363405052555</v>
      </c>
      <c r="AF53" s="4">
        <f t="shared" si="68"/>
        <v>1.1930396625583064</v>
      </c>
    </row>
    <row r="54" spans="2:32" x14ac:dyDescent="0.25">
      <c r="B54" s="628"/>
      <c r="C54" s="60">
        <v>29</v>
      </c>
      <c r="J54" s="4"/>
      <c r="Q54" s="4"/>
      <c r="S54" s="80"/>
      <c r="Z54" s="80"/>
      <c r="AF54" s="4"/>
    </row>
    <row r="55" spans="2:32" x14ac:dyDescent="0.25">
      <c r="B55" s="628"/>
      <c r="C55" s="60">
        <v>30</v>
      </c>
      <c r="D55">
        <v>2.9229433259373171E-2</v>
      </c>
      <c r="E55">
        <v>4.6465651884416538E-3</v>
      </c>
      <c r="F55">
        <v>0.37796430516061941</v>
      </c>
      <c r="G55">
        <v>1.8876005667735752E-4</v>
      </c>
      <c r="H55">
        <v>9.4970936748610471E-2</v>
      </c>
      <c r="I55">
        <v>6.6084764032937455</v>
      </c>
      <c r="J55" s="4">
        <v>2.8018518476924625</v>
      </c>
      <c r="K55">
        <f t="shared" si="56"/>
        <v>-3.8670472611792142</v>
      </c>
      <c r="L55">
        <f t="shared" si="57"/>
        <v>-3.6913008042578834</v>
      </c>
      <c r="M55">
        <f t="shared" si="58"/>
        <v>-4.4399059971892365</v>
      </c>
      <c r="N55">
        <f t="shared" si="59"/>
        <v>-4.0258221902002287</v>
      </c>
      <c r="O55">
        <f t="shared" si="60"/>
        <v>-5.7881114699471192</v>
      </c>
      <c r="P55">
        <f>LOG(I55/I$40,2)</f>
        <v>9.2107882230467997</v>
      </c>
      <c r="Q55" s="4">
        <f t="shared" si="61"/>
        <v>6.0540023656731607</v>
      </c>
      <c r="S55" s="80">
        <v>2.0990850858192338E-3</v>
      </c>
      <c r="T55">
        <v>3.8267940641717657E-3</v>
      </c>
      <c r="U55">
        <v>5.8637087655495794E-2</v>
      </c>
      <c r="V55">
        <v>4.098437038424394</v>
      </c>
      <c r="W55">
        <v>5.8884004342021519E-2</v>
      </c>
      <c r="X55">
        <v>8.7521851854726186E-4</v>
      </c>
      <c r="Y55">
        <v>1.6522174452117105E-3</v>
      </c>
      <c r="Z55" s="80">
        <f t="shared" ref="Z55:AF56" si="69">LOG(S55/S$40,2)</f>
        <v>0.79444021099229511</v>
      </c>
      <c r="AA55">
        <f t="shared" si="69"/>
        <v>0.54252746721485523</v>
      </c>
      <c r="AB55">
        <f t="shared" si="69"/>
        <v>-2.4597606378079084</v>
      </c>
      <c r="AC55">
        <f t="shared" si="69"/>
        <v>-0.55818403095014357</v>
      </c>
      <c r="AD55">
        <f t="shared" si="69"/>
        <v>0.29494518470771292</v>
      </c>
      <c r="AE55">
        <f t="shared" si="69"/>
        <v>3.8594907786134018</v>
      </c>
      <c r="AF55" s="4">
        <f t="shared" si="69"/>
        <v>-0.57330693384454989</v>
      </c>
    </row>
    <row r="56" spans="2:32" ht="15.75" thickBot="1" x14ac:dyDescent="0.3">
      <c r="B56" s="628"/>
      <c r="C56" s="61">
        <v>37</v>
      </c>
      <c r="D56" s="3">
        <v>8.5061227900406298E-3</v>
      </c>
      <c r="E56" s="3">
        <v>1.8774912078048638E-3</v>
      </c>
      <c r="F56" s="3">
        <v>1.1273426433647668E-2</v>
      </c>
      <c r="G56" s="3">
        <v>1.2005368820543427E-2</v>
      </c>
      <c r="H56" s="3">
        <v>2.7708634799865203E-3</v>
      </c>
      <c r="I56" s="3">
        <v>1.1134584939596112E-2</v>
      </c>
      <c r="J56" s="5">
        <v>1.6013206652118723</v>
      </c>
      <c r="K56" s="3">
        <f t="shared" si="56"/>
        <v>-5.6478955313953101</v>
      </c>
      <c r="L56" s="3">
        <f t="shared" si="57"/>
        <v>-4.9986593006829176</v>
      </c>
      <c r="M56" s="3">
        <f t="shared" si="58"/>
        <v>-9.5071580118454175</v>
      </c>
      <c r="N56" s="3">
        <f t="shared" si="59"/>
        <v>1.9651602155184793</v>
      </c>
      <c r="O56" s="3">
        <f t="shared" si="60"/>
        <v>-10.887190017345549</v>
      </c>
      <c r="P56" s="3">
        <f>LOG(I56/I$40,2)</f>
        <v>-2.3378804923808302E-3</v>
      </c>
      <c r="Q56" s="5">
        <f t="shared" si="61"/>
        <v>5.246883929789643</v>
      </c>
      <c r="S56" s="81">
        <v>6.5923596883100575E-4</v>
      </c>
      <c r="T56" s="6">
        <v>7.1845911737905208E-3</v>
      </c>
      <c r="U56" s="6">
        <v>0.18251954715562943</v>
      </c>
      <c r="V56" s="6">
        <v>15.067899095307059</v>
      </c>
      <c r="W56" s="6">
        <v>4.6752281397629207E-2</v>
      </c>
      <c r="X56" s="6">
        <v>7.825623956960252E-4</v>
      </c>
      <c r="Y56" s="6">
        <v>3.7070984737313075E-3</v>
      </c>
      <c r="Z56" s="542">
        <f t="shared" si="69"/>
        <v>-0.87645357082926478</v>
      </c>
      <c r="AA56" s="3">
        <f t="shared" si="69"/>
        <v>1.4512972666441835</v>
      </c>
      <c r="AB56" s="3">
        <f t="shared" si="69"/>
        <v>-0.82159501396818613</v>
      </c>
      <c r="AC56" s="3">
        <f t="shared" si="69"/>
        <v>1.3201485062222404</v>
      </c>
      <c r="AD56" s="3">
        <f t="shared" si="69"/>
        <v>-3.7893832187154725E-2</v>
      </c>
      <c r="AE56" s="3">
        <f t="shared" si="69"/>
        <v>3.698053300894601</v>
      </c>
      <c r="AF56" s="5">
        <f t="shared" si="69"/>
        <v>0.59257993532003173</v>
      </c>
    </row>
    <row r="57" spans="2:32" ht="15.75" thickTop="1" x14ac:dyDescent="0.25">
      <c r="B57" s="628"/>
      <c r="C57" s="553" t="s">
        <v>408</v>
      </c>
      <c r="D57" s="532">
        <f>AVERAGE(D52:D56)</f>
        <v>1.2452439671120887E-2</v>
      </c>
      <c r="E57" s="532">
        <f t="shared" ref="E57:Q57" si="70">AVERAGE(E52:E56)</f>
        <v>3.554333849360733E-3</v>
      </c>
      <c r="F57" s="532">
        <f t="shared" si="70"/>
        <v>0.28084087786529999</v>
      </c>
      <c r="G57" s="532">
        <f t="shared" si="70"/>
        <v>3.1519508893701155E-3</v>
      </c>
      <c r="H57" s="532">
        <f t="shared" si="70"/>
        <v>5.7397191275730772E-2</v>
      </c>
      <c r="I57" s="532">
        <f t="shared" si="70"/>
        <v>3.309805494116671</v>
      </c>
      <c r="J57" s="533">
        <f t="shared" si="70"/>
        <v>1.6250107109545837</v>
      </c>
      <c r="K57" s="532">
        <f t="shared" si="70"/>
        <v>-5.5133337163279617</v>
      </c>
      <c r="L57" s="532">
        <f t="shared" si="70"/>
        <v>-4.2636601218140679</v>
      </c>
      <c r="M57" s="532">
        <f t="shared" si="70"/>
        <v>-5.7423403139402573</v>
      </c>
      <c r="N57" s="532">
        <f t="shared" si="70"/>
        <v>-2.4829054243549109</v>
      </c>
      <c r="O57" s="532">
        <f t="shared" si="70"/>
        <v>-7.3973097900684817</v>
      </c>
      <c r="P57" s="532">
        <f t="shared" si="70"/>
        <v>4.6042251712772098</v>
      </c>
      <c r="Q57" s="533">
        <f t="shared" si="70"/>
        <v>5.1160148550422777</v>
      </c>
      <c r="S57" s="543">
        <f>AVERAGE(S52:S56)</f>
        <v>5.6800358129260277E-3</v>
      </c>
      <c r="T57" s="532">
        <f t="shared" ref="T57:AF57" si="71">AVERAGE(T52:T56)</f>
        <v>7.8021364239505642E-3</v>
      </c>
      <c r="U57" s="532">
        <f t="shared" si="71"/>
        <v>8.6779233672947292E-2</v>
      </c>
      <c r="V57" s="532">
        <f t="shared" si="71"/>
        <v>7.5004982388264114</v>
      </c>
      <c r="W57" s="532">
        <f t="shared" si="71"/>
        <v>7.3224427745756965E-2</v>
      </c>
      <c r="X57" s="532">
        <f t="shared" si="71"/>
        <v>1.7603666824180647E-3</v>
      </c>
      <c r="Y57" s="532">
        <f t="shared" si="71"/>
        <v>4.6346045472773064E-3</v>
      </c>
      <c r="Z57" s="543">
        <f t="shared" si="71"/>
        <v>1.4979333075615067</v>
      </c>
      <c r="AA57" s="532">
        <f t="shared" si="71"/>
        <v>1.4438670357578767</v>
      </c>
      <c r="AB57" s="532">
        <f t="shared" si="71"/>
        <v>-2.1234548363777859</v>
      </c>
      <c r="AC57" s="532">
        <f t="shared" si="71"/>
        <v>6.1299631601830384E-2</v>
      </c>
      <c r="AD57" s="532">
        <f t="shared" si="71"/>
        <v>0.52440837011138153</v>
      </c>
      <c r="AE57" s="532">
        <f t="shared" si="71"/>
        <v>4.6251611787260423</v>
      </c>
      <c r="AF57" s="533">
        <f t="shared" si="71"/>
        <v>0.70817080055801762</v>
      </c>
    </row>
    <row r="58" spans="2:32" x14ac:dyDescent="0.25">
      <c r="B58" s="628"/>
      <c r="C58" s="132" t="s">
        <v>449</v>
      </c>
      <c r="D58" s="271"/>
      <c r="E58" s="271"/>
      <c r="F58" s="271"/>
      <c r="G58" s="271"/>
      <c r="H58" s="271"/>
      <c r="I58" s="271"/>
      <c r="J58" s="271"/>
      <c r="K58" s="80">
        <f t="shared" ref="K58:Q58" si="72">K57+2*STDEV(K52:K56)</f>
        <v>-3.0304439416217908</v>
      </c>
      <c r="L58">
        <f t="shared" si="72"/>
        <v>-2.5483495744740314</v>
      </c>
      <c r="M58">
        <f t="shared" si="72"/>
        <v>-0.6997950916488298</v>
      </c>
      <c r="N58">
        <f t="shared" si="72"/>
        <v>3.4756414466411591</v>
      </c>
      <c r="O58">
        <f t="shared" si="72"/>
        <v>-2.5827540860920655</v>
      </c>
      <c r="P58">
        <f t="shared" si="72"/>
        <v>17.633553058755904</v>
      </c>
      <c r="Q58" s="4">
        <f t="shared" si="72"/>
        <v>6.65887703824382</v>
      </c>
      <c r="S58" s="496"/>
      <c r="T58" s="271"/>
      <c r="U58" s="271"/>
      <c r="V58" s="271"/>
      <c r="W58" s="271"/>
      <c r="X58" s="271"/>
      <c r="Y58" s="271"/>
      <c r="Z58" s="80">
        <f>Z57+2*STDEV(Z52:Z56)</f>
        <v>5.3118762162788347</v>
      </c>
      <c r="AA58">
        <f t="shared" ref="AA58:AF58" si="73">AA57+2*STDEV(AA52:AA56)</f>
        <v>2.8644961355763137</v>
      </c>
      <c r="AB58">
        <f t="shared" si="73"/>
        <v>-0.3819149589267854</v>
      </c>
      <c r="AC58">
        <f t="shared" si="73"/>
        <v>1.9867623701304522</v>
      </c>
      <c r="AD58">
        <f t="shared" si="73"/>
        <v>1.6423691693382201</v>
      </c>
      <c r="AE58">
        <f t="shared" si="73"/>
        <v>6.6015311102403418</v>
      </c>
      <c r="AF58" s="4">
        <f t="shared" si="73"/>
        <v>2.6135150762151058</v>
      </c>
    </row>
    <row r="59" spans="2:32" ht="15.75" thickBot="1" x14ac:dyDescent="0.3">
      <c r="B59" s="629"/>
      <c r="C59" s="203" t="s">
        <v>450</v>
      </c>
      <c r="D59" s="276"/>
      <c r="E59" s="276"/>
      <c r="F59" s="276"/>
      <c r="G59" s="276"/>
      <c r="H59" s="276"/>
      <c r="I59" s="276"/>
      <c r="J59" s="276"/>
      <c r="K59" s="81">
        <f>K57-2*STDEV(K52:K56)</f>
        <v>-7.996223491034133</v>
      </c>
      <c r="L59" s="6">
        <f t="shared" ref="L59:Q59" si="74">L57-2*STDEV(L52:L56)</f>
        <v>-5.9789706691541049</v>
      </c>
      <c r="M59" s="6">
        <f t="shared" si="74"/>
        <v>-10.784885536231684</v>
      </c>
      <c r="N59" s="6">
        <f t="shared" si="74"/>
        <v>-8.441452295350981</v>
      </c>
      <c r="O59" s="6">
        <f t="shared" si="74"/>
        <v>-12.211865494044897</v>
      </c>
      <c r="P59" s="6">
        <f t="shared" si="74"/>
        <v>-8.4251027162014864</v>
      </c>
      <c r="Q59" s="7">
        <f t="shared" si="74"/>
        <v>3.5731526718407354</v>
      </c>
      <c r="S59" s="497"/>
      <c r="T59" s="276"/>
      <c r="U59" s="276"/>
      <c r="V59" s="276"/>
      <c r="W59" s="276"/>
      <c r="X59" s="276"/>
      <c r="Y59" s="276"/>
      <c r="Z59" s="81">
        <f>Z57-2*STDEV(Z52:Z56)</f>
        <v>-2.3160096011558218</v>
      </c>
      <c r="AA59" s="6">
        <f t="shared" ref="AA59:AF59" si="75">AA57-2*STDEV(AA52:AA56)</f>
        <v>2.3237935939439902E-2</v>
      </c>
      <c r="AB59" s="6">
        <f t="shared" si="75"/>
        <v>-3.8649947138287866</v>
      </c>
      <c r="AC59" s="6">
        <f t="shared" si="75"/>
        <v>-1.8641631069267914</v>
      </c>
      <c r="AD59" s="6">
        <f t="shared" si="75"/>
        <v>-0.59355242911545703</v>
      </c>
      <c r="AE59" s="6">
        <f t="shared" si="75"/>
        <v>2.6487912472117427</v>
      </c>
      <c r="AF59" s="7">
        <f t="shared" si="75"/>
        <v>-1.1971734750990703</v>
      </c>
    </row>
    <row r="60" spans="2:32" ht="15.75" thickBot="1" x14ac:dyDescent="0.3">
      <c r="B60" s="40"/>
    </row>
    <row r="61" spans="2:32" ht="15.75" thickBot="1" x14ac:dyDescent="0.3">
      <c r="E61" s="704" t="s">
        <v>414</v>
      </c>
      <c r="F61" s="705"/>
      <c r="G61" s="705"/>
      <c r="H61" s="705"/>
      <c r="I61" s="705"/>
      <c r="J61" s="705"/>
      <c r="K61" s="705"/>
      <c r="L61" s="705"/>
      <c r="M61" s="705"/>
      <c r="N61" s="705"/>
      <c r="O61" s="705"/>
      <c r="P61" s="705"/>
      <c r="Q61" s="705"/>
      <c r="R61" s="705"/>
      <c r="S61" s="705"/>
      <c r="T61" s="705"/>
      <c r="U61" s="706"/>
    </row>
    <row r="62" spans="2:32" ht="15.75" thickBot="1" x14ac:dyDescent="0.3">
      <c r="E62" s="704"/>
      <c r="F62" s="705"/>
      <c r="G62" s="764"/>
      <c r="H62" s="449" t="s">
        <v>335</v>
      </c>
      <c r="I62" s="36" t="s">
        <v>336</v>
      </c>
      <c r="J62" s="36" t="s">
        <v>337</v>
      </c>
      <c r="K62" s="36" t="s">
        <v>338</v>
      </c>
      <c r="L62" s="36" t="s">
        <v>339</v>
      </c>
      <c r="M62" s="36" t="s">
        <v>340</v>
      </c>
      <c r="N62" s="36" t="s">
        <v>341</v>
      </c>
      <c r="O62" s="95" t="s">
        <v>421</v>
      </c>
      <c r="P62" s="449" t="s">
        <v>422</v>
      </c>
      <c r="Q62" s="449" t="s">
        <v>423</v>
      </c>
      <c r="R62" s="449" t="s">
        <v>424</v>
      </c>
      <c r="S62" s="449" t="s">
        <v>425</v>
      </c>
      <c r="T62" s="449" t="s">
        <v>426</v>
      </c>
      <c r="U62" s="441" t="s">
        <v>435</v>
      </c>
    </row>
    <row r="63" spans="2:32" x14ac:dyDescent="0.25">
      <c r="E63" s="627" t="s">
        <v>415</v>
      </c>
      <c r="F63" s="635" t="s">
        <v>42</v>
      </c>
      <c r="G63" s="9" t="s">
        <v>12</v>
      </c>
      <c r="H63">
        <f t="shared" ref="H63:N63" si="76">K21</f>
        <v>-1.1149623159245261</v>
      </c>
      <c r="I63">
        <f t="shared" si="76"/>
        <v>-3.2664239023967157</v>
      </c>
      <c r="J63">
        <f t="shared" si="76"/>
        <v>-4.6817040034093127</v>
      </c>
      <c r="K63">
        <f t="shared" si="76"/>
        <v>1.489232213933203</v>
      </c>
      <c r="L63">
        <f t="shared" si="76"/>
        <v>-6.7510204828675029</v>
      </c>
      <c r="M63">
        <f t="shared" si="76"/>
        <v>4.1463793863533569</v>
      </c>
      <c r="N63">
        <f t="shared" si="76"/>
        <v>4.9885574774043873</v>
      </c>
      <c r="O63" s="79">
        <f t="shared" ref="O63:U63" si="77">Z21</f>
        <v>-2.6173002457263643</v>
      </c>
      <c r="P63">
        <f t="shared" si="77"/>
        <v>2.7175876546871911</v>
      </c>
      <c r="Q63">
        <f t="shared" si="77"/>
        <v>-2.1221567455182315</v>
      </c>
      <c r="R63">
        <f t="shared" si="77"/>
        <v>-2.3667994617168664</v>
      </c>
      <c r="S63">
        <f t="shared" si="77"/>
        <v>-0.38280012245306738</v>
      </c>
      <c r="T63">
        <f t="shared" si="77"/>
        <v>-2.6583534264806787</v>
      </c>
      <c r="U63" s="4">
        <f t="shared" si="77"/>
        <v>2.4980973361543519</v>
      </c>
    </row>
    <row r="64" spans="2:32" x14ac:dyDescent="0.25">
      <c r="E64" s="628"/>
      <c r="F64" s="658"/>
      <c r="G64" s="165" t="s">
        <v>145</v>
      </c>
      <c r="H64" s="162">
        <f t="shared" ref="H64:N64" si="78">K30</f>
        <v>0.69592801256279524</v>
      </c>
      <c r="I64" s="162">
        <f t="shared" si="78"/>
        <v>-0.9103298870551968</v>
      </c>
      <c r="J64" s="162">
        <f t="shared" si="78"/>
        <v>-1.4002823128113091</v>
      </c>
      <c r="K64" s="162">
        <f t="shared" si="78"/>
        <v>-3.3204495394893048</v>
      </c>
      <c r="L64" s="162">
        <f t="shared" si="78"/>
        <v>-1.8563186048228808</v>
      </c>
      <c r="M64" s="162">
        <f t="shared" si="78"/>
        <v>7.1828051829364528</v>
      </c>
      <c r="N64" s="162">
        <f t="shared" si="78"/>
        <v>4.8749077931185383</v>
      </c>
      <c r="O64" s="138">
        <f t="shared" ref="O64:U64" si="79">Z30</f>
        <v>-5.1642695380489743</v>
      </c>
      <c r="P64" s="162">
        <f t="shared" si="79"/>
        <v>0.18736619976854288</v>
      </c>
      <c r="Q64" s="162">
        <f t="shared" si="79"/>
        <v>1.2936867622689585E-3</v>
      </c>
      <c r="R64" s="162">
        <f t="shared" si="79"/>
        <v>5.0473443379526084E-2</v>
      </c>
      <c r="S64" s="162">
        <f t="shared" si="79"/>
        <v>-1.2696642247956733</v>
      </c>
      <c r="T64" s="162">
        <f t="shared" si="79"/>
        <v>-2.9661584858968282</v>
      </c>
      <c r="U64" s="165">
        <f t="shared" si="79"/>
        <v>1.2593999156322115</v>
      </c>
    </row>
    <row r="65" spans="5:21" x14ac:dyDescent="0.25">
      <c r="E65" s="628"/>
      <c r="F65" s="657" t="s">
        <v>409</v>
      </c>
      <c r="G65" s="4" t="s">
        <v>12</v>
      </c>
      <c r="H65">
        <f t="shared" ref="H65:N65" si="80">K49</f>
        <v>-5.5404950984337207</v>
      </c>
      <c r="I65">
        <f t="shared" si="80"/>
        <v>-3.4488383759127186</v>
      </c>
      <c r="J65">
        <f t="shared" si="80"/>
        <v>-7.7286931453206602</v>
      </c>
      <c r="K65">
        <f t="shared" si="80"/>
        <v>-0.27427751006565348</v>
      </c>
      <c r="L65">
        <f t="shared" si="80"/>
        <v>-8.6108383600116944</v>
      </c>
      <c r="M65">
        <f t="shared" si="80"/>
        <v>-1.4060126661617751</v>
      </c>
      <c r="N65">
        <f t="shared" si="80"/>
        <v>-0.25080391492200205</v>
      </c>
      <c r="O65" s="79">
        <f t="shared" ref="O65:U65" si="81">Z49</f>
        <v>-0.54304764597840649</v>
      </c>
      <c r="P65">
        <f t="shared" si="81"/>
        <v>2.0078472981362609</v>
      </c>
      <c r="Q65">
        <f t="shared" si="81"/>
        <v>-1.1622367474780317</v>
      </c>
      <c r="R65">
        <f t="shared" si="81"/>
        <v>0.12154803788050987</v>
      </c>
      <c r="S65">
        <f t="shared" si="81"/>
        <v>-0.57603822690743323</v>
      </c>
      <c r="T65">
        <f t="shared" si="81"/>
        <v>3.2256674964693084</v>
      </c>
      <c r="U65" s="4">
        <f t="shared" si="81"/>
        <v>1.8077726745973415</v>
      </c>
    </row>
    <row r="66" spans="5:21" ht="15.75" thickBot="1" x14ac:dyDescent="0.3">
      <c r="E66" s="629"/>
      <c r="F66" s="636"/>
      <c r="G66" s="7" t="s">
        <v>145</v>
      </c>
      <c r="H66" s="6">
        <f t="shared" ref="H66:N66" si="82">K57</f>
        <v>-5.5133337163279617</v>
      </c>
      <c r="I66" s="6">
        <f t="shared" si="82"/>
        <v>-4.2636601218140679</v>
      </c>
      <c r="J66" s="6">
        <f t="shared" si="82"/>
        <v>-5.7423403139402573</v>
      </c>
      <c r="K66" s="6">
        <f t="shared" si="82"/>
        <v>-2.4829054243549109</v>
      </c>
      <c r="L66" s="6">
        <f t="shared" si="82"/>
        <v>-7.3973097900684817</v>
      </c>
      <c r="M66" s="6">
        <f t="shared" si="82"/>
        <v>4.6042251712772098</v>
      </c>
      <c r="N66" s="6">
        <f t="shared" si="82"/>
        <v>5.1160148550422777</v>
      </c>
      <c r="O66" s="82">
        <f t="shared" ref="O66:U66" si="83">Z57</f>
        <v>1.4979333075615067</v>
      </c>
      <c r="P66" s="6">
        <f t="shared" si="83"/>
        <v>1.4438670357578767</v>
      </c>
      <c r="Q66" s="6">
        <f t="shared" si="83"/>
        <v>-2.1234548363777859</v>
      </c>
      <c r="R66" s="6">
        <f t="shared" si="83"/>
        <v>6.1299631601830384E-2</v>
      </c>
      <c r="S66" s="6">
        <f t="shared" si="83"/>
        <v>0.52440837011138153</v>
      </c>
      <c r="T66" s="6">
        <f t="shared" si="83"/>
        <v>4.6251611787260423</v>
      </c>
      <c r="U66" s="7">
        <f t="shared" si="83"/>
        <v>0.70817080055801762</v>
      </c>
    </row>
    <row r="67" spans="5:21" x14ac:dyDescent="0.25">
      <c r="E67" s="698" t="s">
        <v>416</v>
      </c>
      <c r="F67" s="687" t="s">
        <v>42</v>
      </c>
      <c r="G67" s="688"/>
      <c r="H67" s="8">
        <f t="shared" ref="H67:N67" si="84">TTEST(K13:K20,K24:K29,1,2)</f>
        <v>7.5844858829166639E-2</v>
      </c>
      <c r="I67" s="8">
        <f t="shared" si="84"/>
        <v>8.8314400777843513E-3</v>
      </c>
      <c r="J67" s="8">
        <f t="shared" si="84"/>
        <v>5.8686641767586589E-2</v>
      </c>
      <c r="K67" s="8">
        <f t="shared" si="84"/>
        <v>5.0630644428198161E-7</v>
      </c>
      <c r="L67" s="8">
        <f t="shared" si="84"/>
        <v>1.4283010721109041E-2</v>
      </c>
      <c r="M67" s="8">
        <f t="shared" si="84"/>
        <v>4.6254603828170697E-2</v>
      </c>
      <c r="N67" s="8">
        <f t="shared" si="84"/>
        <v>0.46625778248152028</v>
      </c>
      <c r="O67" s="251">
        <f t="shared" ref="O67:U67" si="85">TTEST(Z13:Z20,Z24:Z29,1,2)</f>
        <v>9.9447406993185383E-2</v>
      </c>
      <c r="P67" s="8">
        <f t="shared" si="85"/>
        <v>5.8458627619930661E-3</v>
      </c>
      <c r="Q67" s="8">
        <f t="shared" si="85"/>
        <v>9.689959515206387E-5</v>
      </c>
      <c r="R67" s="8">
        <f t="shared" si="85"/>
        <v>3.4187920510053656E-2</v>
      </c>
      <c r="S67" s="8">
        <f t="shared" si="85"/>
        <v>0.12399698554222481</v>
      </c>
      <c r="T67" s="8">
        <f t="shared" si="85"/>
        <v>0.43038554069846807</v>
      </c>
      <c r="U67" s="9">
        <f t="shared" si="85"/>
        <v>1.7678326170116062E-4</v>
      </c>
    </row>
    <row r="68" spans="5:21" x14ac:dyDescent="0.25">
      <c r="E68" s="699"/>
      <c r="F68" s="846" t="s">
        <v>410</v>
      </c>
      <c r="G68" s="847"/>
      <c r="H68">
        <f t="shared" ref="H68:N68" si="86">TTEST(K14:K20,K43:K48,1,2)</f>
        <v>3.6956420654621763E-3</v>
      </c>
      <c r="I68">
        <f t="shared" si="86"/>
        <v>0.4233564915350333</v>
      </c>
      <c r="J68">
        <f t="shared" si="86"/>
        <v>0.12151253387394204</v>
      </c>
      <c r="K68">
        <f t="shared" si="86"/>
        <v>8.8072519662445656E-2</v>
      </c>
      <c r="L68">
        <f t="shared" si="86"/>
        <v>0.23797560587423838</v>
      </c>
      <c r="M68">
        <f t="shared" si="86"/>
        <v>4.7882245642795633E-2</v>
      </c>
      <c r="N68">
        <f t="shared" si="86"/>
        <v>0.11324160763524931</v>
      </c>
      <c r="O68" s="79">
        <f t="shared" ref="O68:U68" si="87">TTEST(Z14:Z20,Z43:Z48,1,2)</f>
        <v>6.1322862871815133E-2</v>
      </c>
      <c r="P68">
        <f t="shared" si="87"/>
        <v>0.25554794529624147</v>
      </c>
      <c r="Q68">
        <f t="shared" si="87"/>
        <v>1.877350624495594E-2</v>
      </c>
      <c r="R68">
        <f t="shared" si="87"/>
        <v>1.1987066322116848E-4</v>
      </c>
      <c r="S68">
        <f t="shared" si="87"/>
        <v>0.22930946393425244</v>
      </c>
      <c r="T68">
        <f t="shared" si="87"/>
        <v>9.4198750030045691E-4</v>
      </c>
      <c r="U68" s="4">
        <f t="shared" si="87"/>
        <v>0.12222952985332811</v>
      </c>
    </row>
    <row r="69" spans="5:21" x14ac:dyDescent="0.25">
      <c r="E69" s="699"/>
      <c r="F69" s="846" t="s">
        <v>63</v>
      </c>
      <c r="G69" s="847"/>
      <c r="H69">
        <f t="shared" ref="H69:N69" si="88">TTEST(K43:K48,K52:K56,1,2)</f>
        <v>0.48615964736054168</v>
      </c>
      <c r="I69">
        <f t="shared" si="88"/>
        <v>0.1282375864833406</v>
      </c>
      <c r="J69">
        <f t="shared" si="88"/>
        <v>0.15762770873414822</v>
      </c>
      <c r="K69">
        <f t="shared" si="88"/>
        <v>0.15574237916056935</v>
      </c>
      <c r="L69">
        <f t="shared" si="88"/>
        <v>0.2528272736758449</v>
      </c>
      <c r="M69">
        <f t="shared" si="88"/>
        <v>0.16318802742817534</v>
      </c>
      <c r="N69">
        <f t="shared" si="88"/>
        <v>0.1538729202309978</v>
      </c>
      <c r="O69" s="79">
        <f t="shared" ref="O69:U69" si="89">TTEST(Z43:Z48,Z52:Z56,1,2)</f>
        <v>6.6062470735994944E-2</v>
      </c>
      <c r="P69">
        <f t="shared" si="89"/>
        <v>0.3309086062282911</v>
      </c>
      <c r="Q69">
        <f t="shared" si="89"/>
        <v>8.6494419465985045E-2</v>
      </c>
      <c r="R69">
        <f t="shared" si="89"/>
        <v>0.45577894178956246</v>
      </c>
      <c r="S69">
        <f t="shared" si="89"/>
        <v>4.0641292800170072E-2</v>
      </c>
      <c r="T69">
        <f t="shared" si="89"/>
        <v>0.13388161090909437</v>
      </c>
      <c r="U69" s="4">
        <f t="shared" si="89"/>
        <v>6.8243431491297427E-2</v>
      </c>
    </row>
    <row r="70" spans="5:21" ht="15.75" thickBot="1" x14ac:dyDescent="0.3">
      <c r="E70" s="700"/>
      <c r="F70" s="718" t="s">
        <v>418</v>
      </c>
      <c r="G70" s="717"/>
      <c r="H70" s="6">
        <f t="shared" ref="H70:N70" si="90">TTEST(K24:K29,K52:K56,1,2)</f>
        <v>9.6142264855544088E-5</v>
      </c>
      <c r="I70" s="6">
        <f t="shared" si="90"/>
        <v>7.6409785995417974E-4</v>
      </c>
      <c r="J70" s="6">
        <f t="shared" si="90"/>
        <v>3.446236103623988E-3</v>
      </c>
      <c r="K70" s="6">
        <f t="shared" si="90"/>
        <v>0.2504611430475549</v>
      </c>
      <c r="L70" s="6">
        <f t="shared" si="90"/>
        <v>7.5885527759506641E-4</v>
      </c>
      <c r="M70" s="6">
        <f t="shared" si="90"/>
        <v>0.16285328653444375</v>
      </c>
      <c r="N70" s="6">
        <f t="shared" si="90"/>
        <v>0.41500569980111152</v>
      </c>
      <c r="O70" s="82">
        <f t="shared" ref="O70:U70" si="91">TTEST(Z24:Z29,Z52:Z56,1,2)</f>
        <v>1.4506637798370461E-2</v>
      </c>
      <c r="P70" s="6">
        <f t="shared" si="91"/>
        <v>9.3170558768349537E-2</v>
      </c>
      <c r="Q70" s="6">
        <f t="shared" si="91"/>
        <v>9.6488554425440301E-4</v>
      </c>
      <c r="R70" s="6">
        <f t="shared" si="91"/>
        <v>0.49737046108362348</v>
      </c>
      <c r="S70" s="6">
        <f t="shared" si="91"/>
        <v>4.7753584358806229E-2</v>
      </c>
      <c r="T70" s="6">
        <f t="shared" si="91"/>
        <v>5.3639909808537978E-4</v>
      </c>
      <c r="U70" s="7">
        <f t="shared" si="91"/>
        <v>0.13335109226926464</v>
      </c>
    </row>
    <row r="71" spans="5:21" x14ac:dyDescent="0.25">
      <c r="E71" s="698" t="s">
        <v>417</v>
      </c>
      <c r="F71" s="635" t="s">
        <v>42</v>
      </c>
      <c r="G71" s="9" t="s">
        <v>66</v>
      </c>
      <c r="H71" s="8">
        <f t="shared" ref="H71:N71" si="92">TTEST(K4:K9,K13:K20,1,2)</f>
        <v>0.18925835994331602</v>
      </c>
      <c r="I71" s="8">
        <f t="shared" si="92"/>
        <v>3.8388043376486642E-3</v>
      </c>
      <c r="J71" s="8">
        <f t="shared" si="92"/>
        <v>3.3787269912612453E-2</v>
      </c>
      <c r="K71" s="8">
        <f t="shared" si="92"/>
        <v>1.3640464064876855E-2</v>
      </c>
      <c r="L71" s="8">
        <f t="shared" si="92"/>
        <v>9.4779585608025744E-3</v>
      </c>
      <c r="M71" s="8">
        <f t="shared" si="92"/>
        <v>1.9899607929529214E-2</v>
      </c>
      <c r="N71" s="8">
        <f t="shared" si="92"/>
        <v>2.1871185176860915E-3</v>
      </c>
      <c r="O71" s="251">
        <f t="shared" ref="O71:U71" si="93">TTEST(Z4:Z9,Z13:Z20,1,2)</f>
        <v>7.9056114744045586E-2</v>
      </c>
      <c r="P71" s="8">
        <f t="shared" si="93"/>
        <v>8.669266476657863E-4</v>
      </c>
      <c r="Q71" s="8">
        <f t="shared" si="93"/>
        <v>0.33478927019426374</v>
      </c>
      <c r="R71" s="8">
        <f t="shared" si="93"/>
        <v>0.22799363613382601</v>
      </c>
      <c r="S71" s="8">
        <f t="shared" si="93"/>
        <v>5.190134911743375E-2</v>
      </c>
      <c r="T71" s="8">
        <f t="shared" si="93"/>
        <v>0.27461247695601038</v>
      </c>
      <c r="U71" s="9">
        <f t="shared" si="93"/>
        <v>1.3855996601843247E-3</v>
      </c>
    </row>
    <row r="72" spans="5:21" x14ac:dyDescent="0.25">
      <c r="E72" s="699"/>
      <c r="F72" s="658"/>
      <c r="G72" s="165" t="s">
        <v>413</v>
      </c>
      <c r="H72" s="162">
        <f t="shared" ref="H72:N72" si="94">TTEST(K24:K29,K4:K9,1,2)</f>
        <v>0.20195187582469032</v>
      </c>
      <c r="I72" s="162">
        <f t="shared" si="94"/>
        <v>0.15275966856402656</v>
      </c>
      <c r="J72" s="162">
        <f t="shared" si="94"/>
        <v>8.0528940041617071E-3</v>
      </c>
      <c r="K72" s="162">
        <f t="shared" si="94"/>
        <v>5.2152360643033789E-8</v>
      </c>
      <c r="L72" s="162">
        <f t="shared" si="94"/>
        <v>1.5470349808787013E-2</v>
      </c>
      <c r="M72" s="162">
        <f t="shared" si="94"/>
        <v>4.2027130936375629E-5</v>
      </c>
      <c r="N72" s="162">
        <f t="shared" si="94"/>
        <v>1.1916386496761426E-3</v>
      </c>
      <c r="O72" s="138">
        <f t="shared" ref="O72:U72" si="95">TTEST(Z24:Z29,Z4:Z9,1,2)</f>
        <v>0.37613859652035686</v>
      </c>
      <c r="P72" s="162">
        <f t="shared" si="95"/>
        <v>6.1707685333573951E-2</v>
      </c>
      <c r="Q72" s="162">
        <f t="shared" si="95"/>
        <v>0.10234793897849256</v>
      </c>
      <c r="R72" s="162">
        <f t="shared" si="95"/>
        <v>5.1696938612987034E-2</v>
      </c>
      <c r="S72" s="162">
        <f t="shared" si="95"/>
        <v>0.2032147942402906</v>
      </c>
      <c r="T72" s="162">
        <f t="shared" si="95"/>
        <v>0.32104349519379849</v>
      </c>
      <c r="U72" s="165">
        <f t="shared" si="95"/>
        <v>1.2324345110818868E-2</v>
      </c>
    </row>
    <row r="73" spans="5:21" x14ac:dyDescent="0.25">
      <c r="E73" s="699"/>
      <c r="F73" s="657" t="s">
        <v>63</v>
      </c>
      <c r="G73" s="4" t="s">
        <v>66</v>
      </c>
      <c r="H73">
        <f t="shared" ref="H73:N73" si="96">TTEST(K33:K39,K44:K47,1,2)</f>
        <v>1.6972374594349797E-3</v>
      </c>
      <c r="I73">
        <f t="shared" si="96"/>
        <v>5.020411301079835E-2</v>
      </c>
      <c r="J73">
        <f t="shared" si="96"/>
        <v>5.911778804462011E-4</v>
      </c>
      <c r="K73">
        <f t="shared" si="96"/>
        <v>0.47618236668658837</v>
      </c>
      <c r="L73">
        <f t="shared" si="96"/>
        <v>2.373725179966605E-4</v>
      </c>
      <c r="M73">
        <f t="shared" si="96"/>
        <v>0.47811215403594454</v>
      </c>
      <c r="N73">
        <f t="shared" si="96"/>
        <v>0.44791266398014251</v>
      </c>
      <c r="O73" s="79">
        <f>TTEST(Z33:Z39,Z43:Z48,1,2)</f>
        <v>0.33861617652837522</v>
      </c>
      <c r="P73">
        <f t="shared" ref="P73:U73" si="97">TTEST(AA33:AA39,AA43:AA48,1,2)</f>
        <v>5.2611524584428564E-3</v>
      </c>
      <c r="Q73">
        <f t="shared" si="97"/>
        <v>0.26258337572447221</v>
      </c>
      <c r="R73">
        <f t="shared" si="97"/>
        <v>2.239343685574113E-2</v>
      </c>
      <c r="S73">
        <f t="shared" si="97"/>
        <v>4.6673381723191174E-2</v>
      </c>
      <c r="T73">
        <f t="shared" si="97"/>
        <v>3.9694200186502382E-2</v>
      </c>
      <c r="U73" s="4">
        <f t="shared" si="97"/>
        <v>2.6980401119274201E-3</v>
      </c>
    </row>
    <row r="74" spans="5:21" ht="15.75" thickBot="1" x14ac:dyDescent="0.3">
      <c r="E74" s="700"/>
      <c r="F74" s="636"/>
      <c r="G74" s="7" t="s">
        <v>413</v>
      </c>
      <c r="H74" s="6">
        <f t="shared" ref="H74:N74" si="98">TTEST(K52:K56,K33:K39,1,2)</f>
        <v>2.5602813911708476E-3</v>
      </c>
      <c r="I74" s="6">
        <f t="shared" si="98"/>
        <v>1.5734378577605179E-2</v>
      </c>
      <c r="J74" s="6">
        <f t="shared" si="98"/>
        <v>2.2552338473335251E-3</v>
      </c>
      <c r="K74" s="6">
        <f t="shared" si="98"/>
        <v>7.0912834507016048E-2</v>
      </c>
      <c r="L74" s="6">
        <f t="shared" si="98"/>
        <v>4.9841871801879387E-4</v>
      </c>
      <c r="M74" s="6">
        <f t="shared" si="98"/>
        <v>4.7171020891349356E-2</v>
      </c>
      <c r="N74" s="6">
        <f t="shared" si="98"/>
        <v>2.3603585292145894E-4</v>
      </c>
      <c r="O74" s="82">
        <f t="shared" ref="O74:U74" si="99">TTEST(Z52:Z56,Z33:Z39,1,2)</f>
        <v>0.11505362995806474</v>
      </c>
      <c r="P74" s="6">
        <f t="shared" si="99"/>
        <v>1.2577030403660691E-2</v>
      </c>
      <c r="Q74" s="6">
        <f t="shared" si="99"/>
        <v>0.49687814012557963</v>
      </c>
      <c r="R74" s="6">
        <f t="shared" si="99"/>
        <v>5.6492697765684108E-2</v>
      </c>
      <c r="S74" s="6">
        <f t="shared" si="99"/>
        <v>2.9855702683382165E-2</v>
      </c>
      <c r="T74" s="6">
        <f t="shared" si="99"/>
        <v>3.4811528108329936E-3</v>
      </c>
      <c r="U74" s="7">
        <f t="shared" si="99"/>
        <v>2.5044664341916763E-2</v>
      </c>
    </row>
  </sheetData>
  <mergeCells count="26">
    <mergeCell ref="C1:Q1"/>
    <mergeCell ref="B1:B3"/>
    <mergeCell ref="S1:AF1"/>
    <mergeCell ref="S2:Y2"/>
    <mergeCell ref="Z2:AF2"/>
    <mergeCell ref="F69:G69"/>
    <mergeCell ref="F67:G67"/>
    <mergeCell ref="F73:F74"/>
    <mergeCell ref="F71:F72"/>
    <mergeCell ref="E67:E70"/>
    <mergeCell ref="E71:E74"/>
    <mergeCell ref="F68:G68"/>
    <mergeCell ref="F70:G70"/>
    <mergeCell ref="B13:B23"/>
    <mergeCell ref="F65:F66"/>
    <mergeCell ref="F63:F64"/>
    <mergeCell ref="C2:J2"/>
    <mergeCell ref="K2:Q2"/>
    <mergeCell ref="E63:E66"/>
    <mergeCell ref="B4:B12"/>
    <mergeCell ref="B52:B59"/>
    <mergeCell ref="B43:B51"/>
    <mergeCell ref="B33:B42"/>
    <mergeCell ref="B24:B32"/>
    <mergeCell ref="E61:U61"/>
    <mergeCell ref="E62:G62"/>
  </mergeCells>
  <conditionalFormatting sqref="H67:U74">
    <cfRule type="cellIs" dxfId="33" priority="53" stopIfTrue="1" operator="lessThan">
      <formula>0.05</formula>
    </cfRule>
    <cfRule type="cellIs" dxfId="32" priority="54" operator="lessThan">
      <formula>0.1</formula>
    </cfRule>
  </conditionalFormatting>
  <conditionalFormatting sqref="K4:Q9 K13:Q20 K24:Q29 K33:Q39 K43:Q48 K52:Q56">
    <cfRule type="containsBlanks" priority="2" stopIfTrue="1">
      <formula>LEN(TRIM(K4))=0</formula>
    </cfRule>
  </conditionalFormatting>
  <conditionalFormatting sqref="K4:Q9">
    <cfRule type="cellIs" dxfId="31" priority="13" operator="lessThan">
      <formula>K$12</formula>
    </cfRule>
    <cfRule type="cellIs" dxfId="30" priority="14" operator="greaterThan">
      <formula>K$11</formula>
    </cfRule>
  </conditionalFormatting>
  <conditionalFormatting sqref="K13:Q20">
    <cfRule type="cellIs" dxfId="29" priority="11" operator="lessThan">
      <formula>K$23</formula>
    </cfRule>
    <cfRule type="cellIs" dxfId="28" priority="12" operator="greaterThan">
      <formula>K$22</formula>
    </cfRule>
  </conditionalFormatting>
  <conditionalFormatting sqref="K24:Q29">
    <cfRule type="cellIs" dxfId="27" priority="9" operator="lessThan">
      <formula>K$32</formula>
    </cfRule>
    <cfRule type="cellIs" dxfId="26" priority="10" operator="greaterThan">
      <formula>K$31</formula>
    </cfRule>
  </conditionalFormatting>
  <conditionalFormatting sqref="K33:Q39">
    <cfRule type="cellIs" dxfId="25" priority="7" operator="lessThan">
      <formula>K$42</formula>
    </cfRule>
    <cfRule type="cellIs" dxfId="24" priority="8" operator="greaterThan">
      <formula>K$41</formula>
    </cfRule>
  </conditionalFormatting>
  <conditionalFormatting sqref="K43:Q48">
    <cfRule type="cellIs" dxfId="23" priority="5" operator="lessThan">
      <formula>K$51</formula>
    </cfRule>
    <cfRule type="cellIs" dxfId="22" priority="6" operator="greaterThan">
      <formula>K$50</formula>
    </cfRule>
  </conditionalFormatting>
  <conditionalFormatting sqref="K52:Q56">
    <cfRule type="cellIs" dxfId="21" priority="3" operator="lessThan">
      <formula>K$59</formula>
    </cfRule>
    <cfRule type="cellIs" dxfId="20" priority="4" operator="greaterThan">
      <formula>K$58</formula>
    </cfRule>
  </conditionalFormatting>
  <conditionalFormatting sqref="Z33 AE33 AA33:AD39 AF33:AF39">
    <cfRule type="cellIs" dxfId="19" priority="20" operator="lessThan">
      <formula>Z$42</formula>
    </cfRule>
    <cfRule type="cellIs" dxfId="18" priority="21" operator="greaterThan">
      <formula>Z$41</formula>
    </cfRule>
  </conditionalFormatting>
  <conditionalFormatting sqref="Z4:AF9">
    <cfRule type="cellIs" dxfId="17" priority="27" operator="lessThan">
      <formula>Z$12</formula>
    </cfRule>
    <cfRule type="cellIs" dxfId="16" priority="28" operator="greaterThan">
      <formula>Z$11</formula>
    </cfRule>
  </conditionalFormatting>
  <conditionalFormatting sqref="Z13:AF20">
    <cfRule type="containsBlanks" priority="24" stopIfTrue="1">
      <formula>LEN(TRIM(Z13))=0</formula>
    </cfRule>
    <cfRule type="cellIs" dxfId="15" priority="25" operator="lessThan">
      <formula>Z$23</formula>
    </cfRule>
    <cfRule type="cellIs" dxfId="14" priority="26" operator="greaterThan">
      <formula>Z$22</formula>
    </cfRule>
  </conditionalFormatting>
  <conditionalFormatting sqref="Z24:AF29">
    <cfRule type="containsBlanks" priority="1" stopIfTrue="1">
      <formula>LEN(TRIM(Z24))=0</formula>
    </cfRule>
    <cfRule type="cellIs" dxfId="13" priority="22" operator="lessThan">
      <formula>Z$32</formula>
    </cfRule>
    <cfRule type="cellIs" dxfId="12" priority="23" operator="greaterThan">
      <formula>Z$31</formula>
    </cfRule>
  </conditionalFormatting>
  <conditionalFormatting sqref="Z43:AF48">
    <cfRule type="cellIs" dxfId="11" priority="18" operator="lessThan">
      <formula>Z$51</formula>
    </cfRule>
    <cfRule type="cellIs" dxfId="10" priority="19" operator="greaterThan">
      <formula>Z$50</formula>
    </cfRule>
  </conditionalFormatting>
  <conditionalFormatting sqref="Z52:AF56">
    <cfRule type="containsBlanks" priority="15" stopIfTrue="1">
      <formula>LEN(TRIM(Z52))=0</formula>
    </cfRule>
    <cfRule type="cellIs" dxfId="9" priority="16" operator="lessThan">
      <formula>Z$59</formula>
    </cfRule>
    <cfRule type="cellIs" dxfId="8" priority="17" operator="greaterThan">
      <formula>Z$58</formula>
    </cfRule>
  </conditionalFormatting>
  <hyperlinks>
    <hyperlink ref="A1" location="'Table of Contents'!A1" display="Table of Contents" xr:uid="{3BFBF919-B433-43A5-AA52-64F29D5C1E02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C292-D6D8-4BDA-9A13-80363FA8B405}">
  <dimension ref="A1:Z141"/>
  <sheetViews>
    <sheetView workbookViewId="0">
      <selection activeCell="M4" sqref="M4"/>
    </sheetView>
  </sheetViews>
  <sheetFormatPr defaultRowHeight="15" x14ac:dyDescent="0.25"/>
  <cols>
    <col min="1" max="1" width="15" customWidth="1"/>
    <col min="2" max="2" width="11" customWidth="1"/>
    <col min="3" max="3" width="10" customWidth="1"/>
    <col min="8" max="8" width="11.28515625" customWidth="1"/>
  </cols>
  <sheetData>
    <row r="1" spans="1:26" ht="15" customHeight="1" x14ac:dyDescent="0.25">
      <c r="A1" s="38" t="s">
        <v>9</v>
      </c>
      <c r="B1" s="644" t="s">
        <v>235</v>
      </c>
      <c r="C1" s="665" t="s">
        <v>10</v>
      </c>
      <c r="D1" s="635" t="s">
        <v>322</v>
      </c>
      <c r="E1" s="855" t="s">
        <v>56</v>
      </c>
      <c r="F1" s="865" t="s">
        <v>319</v>
      </c>
      <c r="G1" s="867" t="s">
        <v>320</v>
      </c>
      <c r="H1" s="854" t="s">
        <v>329</v>
      </c>
      <c r="I1" s="869" t="s">
        <v>321</v>
      </c>
      <c r="J1" s="859" t="s">
        <v>326</v>
      </c>
      <c r="K1" s="861" t="s">
        <v>327</v>
      </c>
      <c r="L1" s="863" t="s">
        <v>328</v>
      </c>
      <c r="M1" s="634" t="s">
        <v>433</v>
      </c>
      <c r="N1" s="634"/>
      <c r="O1" s="634"/>
      <c r="P1" s="634"/>
      <c r="Q1" s="634"/>
      <c r="R1" s="634"/>
      <c r="S1" s="637"/>
      <c r="T1" s="634" t="s">
        <v>434</v>
      </c>
      <c r="U1" s="634"/>
      <c r="V1" s="634"/>
      <c r="W1" s="634"/>
      <c r="X1" s="634"/>
      <c r="Y1" s="634"/>
      <c r="Z1" s="637"/>
    </row>
    <row r="2" spans="1:26" ht="15" customHeight="1" thickBot="1" x14ac:dyDescent="0.3">
      <c r="B2" s="645"/>
      <c r="C2" s="666"/>
      <c r="D2" s="657"/>
      <c r="E2" s="743"/>
      <c r="F2" s="866"/>
      <c r="G2" s="868"/>
      <c r="H2" s="854"/>
      <c r="I2" s="870"/>
      <c r="J2" s="860"/>
      <c r="K2" s="862"/>
      <c r="L2" s="864"/>
      <c r="M2" s="37" t="s">
        <v>335</v>
      </c>
      <c r="N2" s="37" t="s">
        <v>336</v>
      </c>
      <c r="O2" s="37" t="s">
        <v>337</v>
      </c>
      <c r="P2" s="37" t="s">
        <v>338</v>
      </c>
      <c r="Q2" s="37" t="s">
        <v>339</v>
      </c>
      <c r="R2" s="37" t="s">
        <v>340</v>
      </c>
      <c r="S2" s="197" t="s">
        <v>341</v>
      </c>
      <c r="T2" s="539" t="s">
        <v>421</v>
      </c>
      <c r="U2" s="540" t="s">
        <v>422</v>
      </c>
      <c r="V2" s="540" t="s">
        <v>423</v>
      </c>
      <c r="W2" s="540" t="s">
        <v>424</v>
      </c>
      <c r="X2" s="540" t="s">
        <v>425</v>
      </c>
      <c r="Y2" s="540" t="s">
        <v>426</v>
      </c>
      <c r="Z2" s="541" t="s">
        <v>435</v>
      </c>
    </row>
    <row r="3" spans="1:26" x14ac:dyDescent="0.25">
      <c r="B3" s="856" t="s">
        <v>225</v>
      </c>
      <c r="C3" s="665" t="s">
        <v>143</v>
      </c>
      <c r="D3" s="477">
        <v>1</v>
      </c>
      <c r="E3" s="453" t="s">
        <v>313</v>
      </c>
      <c r="F3" s="455">
        <v>1.85</v>
      </c>
      <c r="G3" s="461">
        <v>31.792000000000002</v>
      </c>
      <c r="H3" s="455">
        <v>13</v>
      </c>
      <c r="I3" s="462">
        <f>G3*H3</f>
        <v>413.29600000000005</v>
      </c>
      <c r="J3" s="469">
        <f>125/G3</f>
        <v>3.9318067438349269</v>
      </c>
      <c r="K3" s="455">
        <f>L3-J3</f>
        <v>21.068193256165074</v>
      </c>
      <c r="L3" s="462">
        <v>25</v>
      </c>
      <c r="M3" s="469" t="s">
        <v>354</v>
      </c>
      <c r="N3" s="455" t="s">
        <v>354</v>
      </c>
      <c r="O3" s="455" t="s">
        <v>354</v>
      </c>
      <c r="P3" s="455" t="s">
        <v>354</v>
      </c>
      <c r="Q3" s="455" t="s">
        <v>354</v>
      </c>
      <c r="R3" s="455" t="s">
        <v>354</v>
      </c>
      <c r="S3" s="462" t="s">
        <v>354</v>
      </c>
      <c r="T3" s="375">
        <v>8.6793292736407016E-4</v>
      </c>
      <c r="U3" s="8">
        <v>6.4978407082742105E-3</v>
      </c>
      <c r="V3" s="8">
        <v>0.40056099513624244</v>
      </c>
      <c r="W3" s="8">
        <v>6.0631700380536442</v>
      </c>
      <c r="X3" s="8">
        <v>1.2839885802653907E-2</v>
      </c>
      <c r="Y3" s="8">
        <v>1.582798960908802E-2</v>
      </c>
      <c r="Z3" s="9">
        <v>1.6967290294579444E-2</v>
      </c>
    </row>
    <row r="4" spans="1:26" x14ac:dyDescent="0.25">
      <c r="B4" s="857"/>
      <c r="C4" s="666"/>
      <c r="D4" s="239">
        <v>2</v>
      </c>
      <c r="E4" s="93" t="s">
        <v>314</v>
      </c>
      <c r="F4" s="456">
        <v>2</v>
      </c>
      <c r="G4" s="463">
        <v>7.758</v>
      </c>
      <c r="H4" s="456">
        <v>13</v>
      </c>
      <c r="I4" s="464">
        <f t="shared" ref="I4:I70" si="0">G4*H4</f>
        <v>100.854</v>
      </c>
      <c r="J4" s="470">
        <f t="shared" ref="J4:J67" si="1">125/G4</f>
        <v>16.112400103119359</v>
      </c>
      <c r="K4" s="456">
        <f t="shared" ref="K4:K67" si="2">L4-J4</f>
        <v>8.8875998968806407</v>
      </c>
      <c r="L4" s="464">
        <v>25</v>
      </c>
      <c r="M4" s="470">
        <v>3.2027073670028508E-3</v>
      </c>
      <c r="N4" s="456">
        <v>8.5635445982650351E-4</v>
      </c>
      <c r="O4" s="456">
        <v>3.7611805312302519E-3</v>
      </c>
      <c r="P4" s="456">
        <v>3.6617871134809098E-2</v>
      </c>
      <c r="Q4" s="456">
        <v>1.3802512645575245E-4</v>
      </c>
      <c r="R4" s="456">
        <v>3.8825349998339721E-3</v>
      </c>
      <c r="S4" s="464">
        <v>2.906405944329987</v>
      </c>
      <c r="T4" s="470">
        <v>1.0254842579108157E-3</v>
      </c>
      <c r="U4" s="456">
        <v>9.5789995846539862E-3</v>
      </c>
      <c r="V4" s="456">
        <v>0.16506302601869882</v>
      </c>
      <c r="W4" s="456">
        <v>6.3283511096219858</v>
      </c>
      <c r="X4" s="456">
        <v>1.6824442236609002E-2</v>
      </c>
      <c r="Y4" s="456">
        <v>8.7471609261265317E-3</v>
      </c>
      <c r="Z4" s="464">
        <v>1.0655248267311653E-2</v>
      </c>
    </row>
    <row r="5" spans="1:26" x14ac:dyDescent="0.25">
      <c r="B5" s="857"/>
      <c r="C5" s="666"/>
      <c r="D5" s="239">
        <v>3</v>
      </c>
      <c r="E5" s="93" t="s">
        <v>315</v>
      </c>
      <c r="F5" s="456">
        <v>2.04</v>
      </c>
      <c r="G5" s="463">
        <v>3.9489999999999998</v>
      </c>
      <c r="H5" s="456">
        <v>13</v>
      </c>
      <c r="I5" s="464">
        <f t="shared" si="0"/>
        <v>51.336999999999996</v>
      </c>
      <c r="J5" s="470">
        <f t="shared" si="1"/>
        <v>31.653583185616615</v>
      </c>
      <c r="K5" s="456">
        <f t="shared" si="2"/>
        <v>-6.6535831856166148</v>
      </c>
      <c r="L5" s="464">
        <v>25</v>
      </c>
      <c r="M5" s="470"/>
      <c r="N5" s="456"/>
      <c r="O5" s="456"/>
      <c r="P5" s="456"/>
      <c r="Q5" s="456"/>
      <c r="R5" s="456"/>
      <c r="S5" s="464"/>
      <c r="T5" s="470"/>
      <c r="U5" s="456"/>
      <c r="V5" s="456"/>
      <c r="W5" s="456"/>
      <c r="X5" s="456"/>
      <c r="Y5" s="456"/>
      <c r="Z5" s="464"/>
    </row>
    <row r="6" spans="1:26" x14ac:dyDescent="0.25">
      <c r="B6" s="857"/>
      <c r="C6" s="666"/>
      <c r="D6" s="239">
        <v>4</v>
      </c>
      <c r="E6" s="93" t="s">
        <v>316</v>
      </c>
      <c r="F6" s="456">
        <v>1.8740000000000001</v>
      </c>
      <c r="G6" s="463">
        <v>17.382999999999999</v>
      </c>
      <c r="H6" s="456">
        <v>13</v>
      </c>
      <c r="I6" s="464">
        <f t="shared" si="0"/>
        <v>225.97899999999998</v>
      </c>
      <c r="J6" s="470">
        <f t="shared" si="1"/>
        <v>7.1909336708278211</v>
      </c>
      <c r="K6" s="456">
        <f t="shared" si="2"/>
        <v>17.809066329172179</v>
      </c>
      <c r="L6" s="464">
        <v>25</v>
      </c>
      <c r="M6" s="470">
        <v>4.8912681826186549E-2</v>
      </c>
      <c r="N6" s="456">
        <v>8.5591385193537872E-4</v>
      </c>
      <c r="O6" s="456" t="s">
        <v>354</v>
      </c>
      <c r="P6" s="456">
        <v>6.4031005414661394E-3</v>
      </c>
      <c r="Q6" s="456">
        <v>7.8205463988804111E-2</v>
      </c>
      <c r="R6" s="456">
        <v>1.5185268992255223</v>
      </c>
      <c r="S6" s="464">
        <v>0.25103776975255676</v>
      </c>
      <c r="T6" s="80">
        <v>1.6751766775366855E-2</v>
      </c>
      <c r="U6">
        <v>1.1914371540286475E-2</v>
      </c>
      <c r="V6">
        <v>6.197823591409389E-2</v>
      </c>
      <c r="W6">
        <v>1.5306225675236738</v>
      </c>
      <c r="X6">
        <v>2.0071310235095487E-2</v>
      </c>
      <c r="Y6">
        <v>5.7987986020894991E-5</v>
      </c>
      <c r="Z6" s="4">
        <v>1.242183330325259E-2</v>
      </c>
    </row>
    <row r="7" spans="1:26" x14ac:dyDescent="0.25">
      <c r="B7" s="857"/>
      <c r="C7" s="666"/>
      <c r="D7" s="239">
        <v>5</v>
      </c>
      <c r="E7" s="93" t="s">
        <v>317</v>
      </c>
      <c r="F7" s="456">
        <v>1.796</v>
      </c>
      <c r="G7" s="463">
        <v>14.164</v>
      </c>
      <c r="H7" s="456">
        <v>13</v>
      </c>
      <c r="I7" s="464">
        <f t="shared" si="0"/>
        <v>184.13200000000001</v>
      </c>
      <c r="J7" s="470">
        <f t="shared" si="1"/>
        <v>8.8251906241174805</v>
      </c>
      <c r="K7" s="456">
        <f t="shared" si="2"/>
        <v>16.174809375882518</v>
      </c>
      <c r="L7" s="464">
        <v>25</v>
      </c>
      <c r="M7" s="470">
        <v>3.077112790578776E-2</v>
      </c>
      <c r="N7" s="456">
        <v>1.5188591943960158E-3</v>
      </c>
      <c r="O7" s="456">
        <v>3.6926081838612057</v>
      </c>
      <c r="P7" s="456">
        <v>7.3722858207584917E-3</v>
      </c>
      <c r="Q7" s="456">
        <v>6.6787295113199932E-2</v>
      </c>
      <c r="R7" s="456">
        <v>2.002243548986399</v>
      </c>
      <c r="S7" s="464">
        <v>0.85946036538284465</v>
      </c>
      <c r="T7" s="80">
        <v>9.0007939109012121E-3</v>
      </c>
      <c r="U7">
        <v>2.5170561590869634E-3</v>
      </c>
      <c r="V7">
        <v>0.11532303066236382</v>
      </c>
      <c r="W7">
        <v>2.1537409147701227</v>
      </c>
      <c r="X7">
        <v>2.939128522540501E-2</v>
      </c>
      <c r="Y7">
        <v>2.6429855847262464E-4</v>
      </c>
      <c r="Z7" s="4" t="e">
        <v>#VALUE!</v>
      </c>
    </row>
    <row r="8" spans="1:26" ht="15.75" thickBot="1" x14ac:dyDescent="0.3">
      <c r="B8" s="858"/>
      <c r="C8" s="683"/>
      <c r="D8" s="476">
        <v>6</v>
      </c>
      <c r="E8" s="94" t="s">
        <v>318</v>
      </c>
      <c r="F8" s="460">
        <v>1.5740000000000001</v>
      </c>
      <c r="G8" s="475">
        <v>10.849</v>
      </c>
      <c r="H8" s="460">
        <v>13</v>
      </c>
      <c r="I8" s="473">
        <f t="shared" si="0"/>
        <v>141.03700000000001</v>
      </c>
      <c r="J8" s="474">
        <f t="shared" si="1"/>
        <v>11.521799244169969</v>
      </c>
      <c r="K8" s="460">
        <f t="shared" si="2"/>
        <v>13.478200755830031</v>
      </c>
      <c r="L8" s="473">
        <v>25</v>
      </c>
      <c r="M8" s="474" t="s">
        <v>354</v>
      </c>
      <c r="N8" s="460">
        <v>1.51901770692725E-2</v>
      </c>
      <c r="O8" s="460">
        <v>0.17337295614302017</v>
      </c>
      <c r="P8" s="460">
        <v>1.4437710320255754E-2</v>
      </c>
      <c r="Q8" s="460">
        <v>3.9190119320882868E-3</v>
      </c>
      <c r="R8" s="460">
        <v>8.5904679217718827E-2</v>
      </c>
      <c r="S8" s="473">
        <v>42.026246897516145</v>
      </c>
      <c r="T8" s="474">
        <v>1.794290076339751E-2</v>
      </c>
      <c r="U8" s="460">
        <v>1.4258273418805343E-2</v>
      </c>
      <c r="V8" s="460">
        <v>0.19214187656812681</v>
      </c>
      <c r="W8" s="460">
        <v>7.2507620911835318</v>
      </c>
      <c r="X8" s="460">
        <v>4.428568560903804E-2</v>
      </c>
      <c r="Y8" s="460">
        <v>1.5880140048315811E-2</v>
      </c>
      <c r="Z8" s="473">
        <v>1.9638664319386514E-2</v>
      </c>
    </row>
    <row r="9" spans="1:26" x14ac:dyDescent="0.25">
      <c r="B9" s="627" t="s">
        <v>226</v>
      </c>
      <c r="C9" s="638" t="s">
        <v>142</v>
      </c>
      <c r="D9" s="477">
        <v>7</v>
      </c>
      <c r="E9" s="453" t="s">
        <v>313</v>
      </c>
      <c r="F9" s="465">
        <v>1.718</v>
      </c>
      <c r="G9" s="466">
        <v>7.6879999999999997</v>
      </c>
      <c r="H9" s="457">
        <v>11</v>
      </c>
      <c r="I9" s="462">
        <f t="shared" si="0"/>
        <v>84.567999999999998</v>
      </c>
      <c r="J9" s="469">
        <f t="shared" si="1"/>
        <v>16.259105098855361</v>
      </c>
      <c r="K9" s="455">
        <f t="shared" si="2"/>
        <v>8.7408949011446389</v>
      </c>
      <c r="L9" s="462">
        <v>25</v>
      </c>
      <c r="M9" s="375"/>
      <c r="N9" s="8"/>
      <c r="O9" s="8"/>
      <c r="P9" s="8"/>
      <c r="Q9" s="8"/>
      <c r="R9" s="8"/>
      <c r="S9" s="9"/>
      <c r="T9" s="375"/>
      <c r="U9" s="8"/>
      <c r="V9" s="8"/>
      <c r="W9" s="8"/>
      <c r="X9" s="8"/>
      <c r="Y9" s="8"/>
      <c r="Z9" s="9"/>
    </row>
    <row r="10" spans="1:26" x14ac:dyDescent="0.25">
      <c r="B10" s="628"/>
      <c r="C10" s="696"/>
      <c r="D10" s="239">
        <v>8</v>
      </c>
      <c r="E10" s="93" t="s">
        <v>314</v>
      </c>
      <c r="F10" s="467">
        <v>1.613</v>
      </c>
      <c r="G10" s="468">
        <v>9.5860000000000003</v>
      </c>
      <c r="H10" s="458">
        <v>11</v>
      </c>
      <c r="I10" s="464">
        <f t="shared" si="0"/>
        <v>105.446</v>
      </c>
      <c r="J10" s="470">
        <f t="shared" si="1"/>
        <v>13.039849780930524</v>
      </c>
      <c r="K10" s="456">
        <f t="shared" si="2"/>
        <v>11.960150219069476</v>
      </c>
      <c r="L10" s="464">
        <v>25</v>
      </c>
      <c r="M10" s="80"/>
      <c r="S10" s="4"/>
      <c r="T10" s="80"/>
      <c r="Z10" s="4"/>
    </row>
    <row r="11" spans="1:26" x14ac:dyDescent="0.25">
      <c r="B11" s="628"/>
      <c r="C11" s="696"/>
      <c r="D11" s="239">
        <v>9</v>
      </c>
      <c r="E11" s="93" t="s">
        <v>315</v>
      </c>
      <c r="F11" s="467">
        <v>1.5589999999999999</v>
      </c>
      <c r="G11" s="468">
        <v>8.1940000000000008</v>
      </c>
      <c r="H11" s="458">
        <v>11</v>
      </c>
      <c r="I11" s="464">
        <f t="shared" si="0"/>
        <v>90.134000000000015</v>
      </c>
      <c r="J11" s="470">
        <f t="shared" si="1"/>
        <v>15.255064681474249</v>
      </c>
      <c r="K11" s="456">
        <f t="shared" si="2"/>
        <v>9.7449353185257515</v>
      </c>
      <c r="L11" s="464">
        <v>25</v>
      </c>
      <c r="M11" s="80"/>
      <c r="S11" s="4"/>
      <c r="T11" s="80"/>
      <c r="Z11" s="4"/>
    </row>
    <row r="12" spans="1:26" x14ac:dyDescent="0.25">
      <c r="B12" s="628"/>
      <c r="C12" s="696"/>
      <c r="D12" s="239">
        <v>10</v>
      </c>
      <c r="E12" s="93" t="s">
        <v>316</v>
      </c>
      <c r="F12" s="467">
        <v>1.708</v>
      </c>
      <c r="G12" s="468">
        <v>12.804</v>
      </c>
      <c r="H12" s="458">
        <v>11</v>
      </c>
      <c r="I12" s="464">
        <f t="shared" si="0"/>
        <v>140.84399999999999</v>
      </c>
      <c r="J12" s="470">
        <f t="shared" si="1"/>
        <v>9.7625741955638858</v>
      </c>
      <c r="K12" s="456">
        <f t="shared" si="2"/>
        <v>15.237425804436114</v>
      </c>
      <c r="L12" s="464">
        <v>25</v>
      </c>
      <c r="M12" s="80"/>
      <c r="S12" s="4"/>
      <c r="T12" s="80"/>
      <c r="Z12" s="4"/>
    </row>
    <row r="13" spans="1:26" x14ac:dyDescent="0.25">
      <c r="B13" s="628"/>
      <c r="C13" s="696"/>
      <c r="D13" s="239">
        <v>11</v>
      </c>
      <c r="E13" s="93" t="s">
        <v>317</v>
      </c>
      <c r="F13" s="467">
        <v>1.897</v>
      </c>
      <c r="G13" s="468">
        <v>7.298</v>
      </c>
      <c r="H13" s="458">
        <v>11</v>
      </c>
      <c r="I13" s="464">
        <f t="shared" si="0"/>
        <v>80.278000000000006</v>
      </c>
      <c r="J13" s="470">
        <f t="shared" si="1"/>
        <v>17.127980268566731</v>
      </c>
      <c r="K13" s="456">
        <f t="shared" si="2"/>
        <v>7.8720197314332694</v>
      </c>
      <c r="L13" s="464">
        <v>25</v>
      </c>
      <c r="M13" s="80"/>
      <c r="S13" s="4"/>
      <c r="T13" s="80"/>
      <c r="Z13" s="4"/>
    </row>
    <row r="14" spans="1:26" ht="15.75" thickBot="1" x14ac:dyDescent="0.3">
      <c r="B14" s="629"/>
      <c r="C14" s="639"/>
      <c r="D14" s="476">
        <v>12</v>
      </c>
      <c r="E14" s="94" t="s">
        <v>318</v>
      </c>
      <c r="F14" s="471">
        <v>-0.82499999999999996</v>
      </c>
      <c r="G14" s="472">
        <v>0.42499999999999999</v>
      </c>
      <c r="H14" s="459">
        <v>11</v>
      </c>
      <c r="I14" s="473">
        <f t="shared" si="0"/>
        <v>4.6749999999999998</v>
      </c>
      <c r="J14" s="474">
        <f t="shared" si="1"/>
        <v>294.11764705882354</v>
      </c>
      <c r="K14" s="460">
        <f t="shared" si="2"/>
        <v>-269.11764705882354</v>
      </c>
      <c r="L14" s="473">
        <v>25</v>
      </c>
      <c r="M14" s="81"/>
      <c r="N14" s="6"/>
      <c r="O14" s="6"/>
      <c r="P14" s="6"/>
      <c r="Q14" s="6"/>
      <c r="R14" s="6"/>
      <c r="S14" s="7"/>
      <c r="T14" s="81"/>
      <c r="U14" s="6"/>
      <c r="V14" s="6"/>
      <c r="W14" s="6"/>
      <c r="X14" s="6"/>
      <c r="Y14" s="6"/>
      <c r="Z14" s="7"/>
    </row>
    <row r="15" spans="1:26" x14ac:dyDescent="0.25">
      <c r="B15" s="848" t="s">
        <v>227</v>
      </c>
      <c r="C15" s="638" t="s">
        <v>149</v>
      </c>
      <c r="D15" s="240">
        <v>13</v>
      </c>
      <c r="E15" s="251" t="s">
        <v>313</v>
      </c>
      <c r="F15" s="469">
        <v>1.4930000000000001</v>
      </c>
      <c r="G15" s="461">
        <v>7.2859999999999996</v>
      </c>
      <c r="H15" s="455">
        <v>13</v>
      </c>
      <c r="I15" s="462">
        <f t="shared" si="0"/>
        <v>94.717999999999989</v>
      </c>
      <c r="J15" s="469">
        <f t="shared" si="1"/>
        <v>17.156189953335165</v>
      </c>
      <c r="K15" s="455">
        <f t="shared" si="2"/>
        <v>7.8438100466648351</v>
      </c>
      <c r="L15" s="462">
        <v>25</v>
      </c>
      <c r="M15" s="375"/>
      <c r="N15" s="8"/>
      <c r="O15" s="8"/>
      <c r="P15" s="8"/>
      <c r="Q15" s="8"/>
      <c r="R15" s="8"/>
      <c r="S15" s="9"/>
      <c r="T15" s="375"/>
      <c r="U15" s="8"/>
      <c r="V15" s="8"/>
      <c r="W15" s="8"/>
      <c r="X15" s="8"/>
      <c r="Y15" s="8"/>
      <c r="Z15" s="9"/>
    </row>
    <row r="16" spans="1:26" x14ac:dyDescent="0.25">
      <c r="B16" s="849"/>
      <c r="C16" s="696"/>
      <c r="D16" s="40">
        <v>14</v>
      </c>
      <c r="E16" s="79" t="s">
        <v>314</v>
      </c>
      <c r="F16" s="470">
        <v>2.1930000000000001</v>
      </c>
      <c r="G16" s="463">
        <v>4.95</v>
      </c>
      <c r="H16" s="456">
        <v>11</v>
      </c>
      <c r="I16" s="464">
        <f t="shared" si="0"/>
        <v>54.45</v>
      </c>
      <c r="J16" s="470">
        <f t="shared" si="1"/>
        <v>25.252525252525253</v>
      </c>
      <c r="K16" s="456">
        <f t="shared" si="2"/>
        <v>-0.2525252525252526</v>
      </c>
      <c r="L16" s="464">
        <v>25</v>
      </c>
      <c r="M16" s="80"/>
      <c r="S16" s="4"/>
      <c r="T16" s="80"/>
      <c r="Z16" s="4"/>
    </row>
    <row r="17" spans="2:26" x14ac:dyDescent="0.25">
      <c r="B17" s="849"/>
      <c r="C17" s="696"/>
      <c r="D17" s="37">
        <v>25</v>
      </c>
      <c r="E17" s="79" t="s">
        <v>315</v>
      </c>
      <c r="F17" s="467">
        <v>1.9019999999999999</v>
      </c>
      <c r="G17" s="468">
        <v>6.5640000000000001</v>
      </c>
      <c r="H17" s="458">
        <v>11</v>
      </c>
      <c r="I17" s="464">
        <f t="shared" si="0"/>
        <v>72.204000000000008</v>
      </c>
      <c r="J17" s="470">
        <f t="shared" si="1"/>
        <v>19.043266301035953</v>
      </c>
      <c r="K17" s="456">
        <f t="shared" si="2"/>
        <v>5.9567336989640474</v>
      </c>
      <c r="L17" s="464">
        <v>25</v>
      </c>
      <c r="M17" s="80"/>
      <c r="S17" s="4"/>
      <c r="T17" s="80"/>
      <c r="Z17" s="4"/>
    </row>
    <row r="18" spans="2:26" x14ac:dyDescent="0.25">
      <c r="B18" s="849"/>
      <c r="C18" s="696"/>
      <c r="D18" s="37">
        <v>26</v>
      </c>
      <c r="E18" s="79" t="s">
        <v>316</v>
      </c>
      <c r="F18" s="467">
        <v>1.831</v>
      </c>
      <c r="G18" s="468">
        <v>9.7780000000000005</v>
      </c>
      <c r="H18" s="458">
        <v>13</v>
      </c>
      <c r="I18" s="464">
        <f t="shared" si="0"/>
        <v>127.114</v>
      </c>
      <c r="J18" s="470">
        <f t="shared" si="1"/>
        <v>12.78380036817345</v>
      </c>
      <c r="K18" s="456">
        <f t="shared" si="2"/>
        <v>12.21619963182655</v>
      </c>
      <c r="L18" s="464">
        <v>25</v>
      </c>
      <c r="M18" s="80"/>
      <c r="S18" s="4"/>
      <c r="T18" s="80"/>
      <c r="Z18" s="4"/>
    </row>
    <row r="19" spans="2:26" x14ac:dyDescent="0.25">
      <c r="B19" s="849"/>
      <c r="C19" s="696"/>
      <c r="D19" s="37">
        <v>33</v>
      </c>
      <c r="E19" s="79" t="s">
        <v>317</v>
      </c>
      <c r="F19" s="467">
        <v>9.1</v>
      </c>
      <c r="G19" s="468">
        <v>2.3180000000000001</v>
      </c>
      <c r="H19" s="458">
        <v>11</v>
      </c>
      <c r="I19" s="464">
        <f t="shared" si="0"/>
        <v>25.498000000000001</v>
      </c>
      <c r="J19" s="470">
        <f t="shared" si="1"/>
        <v>53.925798101811907</v>
      </c>
      <c r="K19" s="456">
        <f t="shared" si="2"/>
        <v>-28.925798101811907</v>
      </c>
      <c r="L19" s="464">
        <v>25</v>
      </c>
      <c r="M19" s="80"/>
      <c r="S19" s="4"/>
      <c r="T19" s="80"/>
      <c r="Z19" s="4"/>
    </row>
    <row r="20" spans="2:26" ht="15.75" thickBot="1" x14ac:dyDescent="0.3">
      <c r="B20" s="850"/>
      <c r="C20" s="639"/>
      <c r="D20" s="33">
        <v>34</v>
      </c>
      <c r="E20" s="82" t="s">
        <v>318</v>
      </c>
      <c r="F20" s="471">
        <v>3.7269999999999999</v>
      </c>
      <c r="G20" s="472">
        <v>2.113</v>
      </c>
      <c r="H20" s="459">
        <v>11</v>
      </c>
      <c r="I20" s="473">
        <f t="shared" si="0"/>
        <v>23.242999999999999</v>
      </c>
      <c r="J20" s="474">
        <f t="shared" si="1"/>
        <v>59.157595835305251</v>
      </c>
      <c r="K20" s="460">
        <f t="shared" si="2"/>
        <v>-34.157595835305251</v>
      </c>
      <c r="L20" s="473">
        <v>25</v>
      </c>
      <c r="M20" s="80"/>
      <c r="S20" s="4"/>
      <c r="T20" s="81"/>
      <c r="U20" s="6"/>
      <c r="V20" s="6"/>
      <c r="W20" s="6"/>
      <c r="X20" s="6"/>
      <c r="Y20" s="6"/>
      <c r="Z20" s="7"/>
    </row>
    <row r="21" spans="2:26" x14ac:dyDescent="0.25">
      <c r="B21" s="851" t="s">
        <v>228</v>
      </c>
      <c r="C21" s="638" t="s">
        <v>94</v>
      </c>
      <c r="D21" s="39">
        <v>15</v>
      </c>
      <c r="E21" s="251" t="s">
        <v>313</v>
      </c>
      <c r="F21" s="469">
        <v>1.798</v>
      </c>
      <c r="G21" s="461">
        <v>13.858000000000001</v>
      </c>
      <c r="H21" s="455">
        <v>13</v>
      </c>
      <c r="I21" s="462">
        <f t="shared" si="0"/>
        <v>180.154</v>
      </c>
      <c r="J21" s="469">
        <f t="shared" si="1"/>
        <v>9.0200606148073312</v>
      </c>
      <c r="K21" s="455">
        <f t="shared" si="2"/>
        <v>15.979939385192669</v>
      </c>
      <c r="L21" s="462">
        <v>25</v>
      </c>
      <c r="M21" s="469" t="s">
        <v>354</v>
      </c>
      <c r="N21" s="455" t="s">
        <v>354</v>
      </c>
      <c r="O21" s="455" t="s">
        <v>354</v>
      </c>
      <c r="P21" s="455" t="s">
        <v>354</v>
      </c>
      <c r="Q21" s="455" t="s">
        <v>354</v>
      </c>
      <c r="R21" s="455" t="s">
        <v>354</v>
      </c>
      <c r="S21" s="462" t="s">
        <v>354</v>
      </c>
      <c r="T21" s="80">
        <v>1.0154438749134628E-3</v>
      </c>
      <c r="U21">
        <v>1.7777260624083106E-3</v>
      </c>
      <c r="V21">
        <v>0.10250706639261015</v>
      </c>
      <c r="W21">
        <v>3.0445992277928902</v>
      </c>
      <c r="X21">
        <v>1.9711649959944628E-2</v>
      </c>
      <c r="Y21">
        <v>6.3169105892995264E-5</v>
      </c>
      <c r="Z21" s="4">
        <v>2.7002926862334589E-3</v>
      </c>
    </row>
    <row r="22" spans="2:26" x14ac:dyDescent="0.25">
      <c r="B22" s="852"/>
      <c r="C22" s="696"/>
      <c r="D22" s="37">
        <v>16</v>
      </c>
      <c r="E22" s="79" t="s">
        <v>314</v>
      </c>
      <c r="F22" s="470">
        <v>2.089</v>
      </c>
      <c r="G22" s="463">
        <v>10.34</v>
      </c>
      <c r="H22" s="456">
        <v>13</v>
      </c>
      <c r="I22" s="464">
        <f t="shared" si="0"/>
        <v>134.41999999999999</v>
      </c>
      <c r="J22" s="470">
        <f t="shared" si="1"/>
        <v>12.088974854932301</v>
      </c>
      <c r="K22" s="456">
        <f t="shared" si="2"/>
        <v>12.911025145067699</v>
      </c>
      <c r="L22" s="464">
        <v>25</v>
      </c>
      <c r="M22" s="470">
        <v>8.3717878761346599E-3</v>
      </c>
      <c r="N22" s="456">
        <v>5.0018585097461737E-3</v>
      </c>
      <c r="O22" s="456">
        <v>2.2260458278568991E-2</v>
      </c>
      <c r="P22" s="456">
        <v>1.4273229683631686E-2</v>
      </c>
      <c r="Q22" s="456">
        <v>8.6637255373149275E-3</v>
      </c>
      <c r="R22" s="456">
        <v>6.9418941116763683E-3</v>
      </c>
      <c r="S22" s="464">
        <v>1.6705209427886871E-6</v>
      </c>
      <c r="T22" s="470">
        <v>2.1490579689475471E-4</v>
      </c>
      <c r="U22" s="456">
        <v>6.6561106153425927E-3</v>
      </c>
      <c r="V22" s="456">
        <v>0.15896970362114873</v>
      </c>
      <c r="W22" s="456">
        <v>8.6255812224549757</v>
      </c>
      <c r="X22" s="456">
        <v>2.8391150590083736E-2</v>
      </c>
      <c r="Y22" s="456">
        <v>8.1071613519243511E-4</v>
      </c>
      <c r="Z22" s="464">
        <v>7.9831332805780919E-3</v>
      </c>
    </row>
    <row r="23" spans="2:26" x14ac:dyDescent="0.25">
      <c r="B23" s="852"/>
      <c r="C23" s="696"/>
      <c r="D23" s="37">
        <v>27</v>
      </c>
      <c r="E23" s="79" t="s">
        <v>315</v>
      </c>
      <c r="F23" s="467">
        <v>2.097</v>
      </c>
      <c r="G23" s="468">
        <v>8.9130000000000003</v>
      </c>
      <c r="H23" s="458">
        <v>13</v>
      </c>
      <c r="I23" s="464">
        <f t="shared" si="0"/>
        <v>115.869</v>
      </c>
      <c r="J23" s="470">
        <f t="shared" si="1"/>
        <v>14.024458655895883</v>
      </c>
      <c r="K23" s="456">
        <f t="shared" si="2"/>
        <v>10.975541344104117</v>
      </c>
      <c r="L23" s="464">
        <v>25</v>
      </c>
      <c r="M23" s="470">
        <v>4.4604610595758518E-3</v>
      </c>
      <c r="N23" s="456">
        <v>2.2157813112401881E-3</v>
      </c>
      <c r="O23" s="456">
        <v>3.9247490696457362E-3</v>
      </c>
      <c r="P23" s="456">
        <v>1.0468371829629151E-2</v>
      </c>
      <c r="Q23" s="456">
        <v>1.4699371020461276E-3</v>
      </c>
      <c r="R23" s="456">
        <v>2.5513712128770413E-3</v>
      </c>
      <c r="S23" s="464">
        <v>1.7379969460035456</v>
      </c>
      <c r="T23" s="470">
        <v>2.5860253636547078E-4</v>
      </c>
      <c r="U23" s="456">
        <v>1.4562069703217963E-2</v>
      </c>
      <c r="V23" s="456">
        <v>0.24807620956072163</v>
      </c>
      <c r="W23" s="456">
        <v>11.366813222040381</v>
      </c>
      <c r="X23" s="456">
        <v>4.1513122044552986E-2</v>
      </c>
      <c r="Y23" s="456">
        <v>2.9957461494002841E-4</v>
      </c>
      <c r="Z23" s="464">
        <v>2.1928399620292083E-2</v>
      </c>
    </row>
    <row r="24" spans="2:26" x14ac:dyDescent="0.25">
      <c r="B24" s="852"/>
      <c r="C24" s="696"/>
      <c r="D24" s="37">
        <v>28</v>
      </c>
      <c r="E24" s="79" t="s">
        <v>316</v>
      </c>
      <c r="F24" s="467">
        <v>2.2349999999999999</v>
      </c>
      <c r="G24" s="468">
        <v>12.031000000000001</v>
      </c>
      <c r="H24" s="458">
        <v>13</v>
      </c>
      <c r="I24" s="464">
        <f t="shared" si="0"/>
        <v>156.40300000000002</v>
      </c>
      <c r="J24" s="470">
        <f t="shared" si="1"/>
        <v>10.389826282104563</v>
      </c>
      <c r="K24" s="456">
        <f t="shared" si="2"/>
        <v>14.610173717895437</v>
      </c>
      <c r="L24" s="464">
        <v>25</v>
      </c>
      <c r="M24" s="470">
        <v>1.8466375480245448E-2</v>
      </c>
      <c r="N24" s="456">
        <v>1.0389049471530552E-2</v>
      </c>
      <c r="O24" s="456">
        <v>0.11532996110321077</v>
      </c>
      <c r="P24" s="456">
        <v>3.5272110412468198E-4</v>
      </c>
      <c r="Q24" s="456">
        <v>5.2753595105906645E-2</v>
      </c>
      <c r="R24" s="456" t="e">
        <v>#VALUE!</v>
      </c>
      <c r="S24" s="464">
        <v>0.83807861295600417</v>
      </c>
      <c r="T24" s="470">
        <v>1.3458311942551038E-3</v>
      </c>
      <c r="U24" s="456">
        <v>6.6499002821700133E-3</v>
      </c>
      <c r="V24" s="456">
        <v>6.3449495094981753E-2</v>
      </c>
      <c r="W24" s="456">
        <v>5.9932063262155975</v>
      </c>
      <c r="X24" s="456">
        <v>6.1357589267143055E-2</v>
      </c>
      <c r="Y24" s="456">
        <v>1.5609216403757887E-3</v>
      </c>
      <c r="Z24" s="464">
        <v>8.5331790583336575E-3</v>
      </c>
    </row>
    <row r="25" spans="2:26" x14ac:dyDescent="0.25">
      <c r="B25" s="852"/>
      <c r="C25" s="696"/>
      <c r="D25" s="37">
        <v>35</v>
      </c>
      <c r="E25" s="79" t="s">
        <v>317</v>
      </c>
      <c r="F25" s="467">
        <v>1.6950000000000001</v>
      </c>
      <c r="G25" s="468">
        <v>12.141999999999999</v>
      </c>
      <c r="H25" s="458">
        <v>13</v>
      </c>
      <c r="I25" s="464">
        <f t="shared" si="0"/>
        <v>157.846</v>
      </c>
      <c r="J25" s="470">
        <f t="shared" si="1"/>
        <v>10.294844341953549</v>
      </c>
      <c r="K25" s="456">
        <f t="shared" si="2"/>
        <v>14.705155658046451</v>
      </c>
      <c r="L25" s="464">
        <v>25</v>
      </c>
      <c r="M25" s="470">
        <v>1.0225156607089531E-2</v>
      </c>
      <c r="N25" s="456">
        <v>7.9295379297698275E-3</v>
      </c>
      <c r="O25" s="456">
        <v>0.22203461356620252</v>
      </c>
      <c r="P25" s="456">
        <v>7.9271572185492505E-4</v>
      </c>
      <c r="Q25" s="456">
        <v>4.8328746799426926E-2</v>
      </c>
      <c r="R25" s="456">
        <v>1567.0531188872678</v>
      </c>
      <c r="S25" s="464">
        <v>0.64841305375010405</v>
      </c>
      <c r="T25">
        <v>7.4835348251753205E-3</v>
      </c>
      <c r="U25" s="456">
        <v>5.407313054630567E-3</v>
      </c>
      <c r="V25" s="456">
        <v>7.896894472502107E-2</v>
      </c>
      <c r="W25">
        <v>4.7422139667586478</v>
      </c>
      <c r="X25" s="456">
        <v>6.803962379722274E-2</v>
      </c>
      <c r="Y25" s="456">
        <v>4.7092356540080343E-3</v>
      </c>
      <c r="Z25" s="464">
        <v>6.1140649860714595E-3</v>
      </c>
    </row>
    <row r="26" spans="2:26" ht="15.75" thickBot="1" x14ac:dyDescent="0.3">
      <c r="B26" s="853"/>
      <c r="C26" s="639"/>
      <c r="D26" s="33">
        <v>36</v>
      </c>
      <c r="E26" s="82" t="s">
        <v>318</v>
      </c>
      <c r="F26" s="471">
        <v>2.15</v>
      </c>
      <c r="G26" s="472">
        <v>22.565000000000001</v>
      </c>
      <c r="H26" s="459">
        <v>13</v>
      </c>
      <c r="I26" s="473">
        <f t="shared" si="0"/>
        <v>293.34500000000003</v>
      </c>
      <c r="J26" s="474">
        <f t="shared" si="1"/>
        <v>5.5395524041657431</v>
      </c>
      <c r="K26" s="460">
        <f t="shared" si="2"/>
        <v>19.460447595834257</v>
      </c>
      <c r="L26" s="473">
        <v>25</v>
      </c>
      <c r="M26" s="474">
        <v>0.16719158466273804</v>
      </c>
      <c r="N26" s="460">
        <v>6.4543297411276754E-5</v>
      </c>
      <c r="O26" s="460" t="s">
        <v>354</v>
      </c>
      <c r="P26" s="460" t="s">
        <v>354</v>
      </c>
      <c r="Q26" s="460" t="s">
        <v>354</v>
      </c>
      <c r="R26" s="460" t="s">
        <v>354</v>
      </c>
      <c r="S26" s="473" t="s">
        <v>354</v>
      </c>
      <c r="T26" s="81">
        <v>5.7783290029460679E-4</v>
      </c>
      <c r="U26" s="6">
        <v>0.22466569405830805</v>
      </c>
      <c r="V26" s="6">
        <v>0.44264771454423779</v>
      </c>
      <c r="W26" s="6">
        <v>9.4369239742855306</v>
      </c>
      <c r="X26" s="6">
        <v>1.1484435717304751E-2</v>
      </c>
      <c r="Y26" s="6">
        <v>2.8555514453242368E-4</v>
      </c>
      <c r="Z26" s="7">
        <v>1.6482741936919804E-2</v>
      </c>
    </row>
    <row r="27" spans="2:26" x14ac:dyDescent="0.25">
      <c r="B27" s="851" t="s">
        <v>150</v>
      </c>
      <c r="C27" s="635" t="s">
        <v>143</v>
      </c>
      <c r="D27" s="39">
        <v>17</v>
      </c>
      <c r="E27" s="251" t="s">
        <v>313</v>
      </c>
      <c r="F27" s="469">
        <v>2.0190000000000001</v>
      </c>
      <c r="G27" s="461">
        <v>21.3</v>
      </c>
      <c r="H27" s="455">
        <v>13</v>
      </c>
      <c r="I27" s="462">
        <f t="shared" si="0"/>
        <v>276.90000000000003</v>
      </c>
      <c r="J27" s="469">
        <f t="shared" si="1"/>
        <v>5.868544600938967</v>
      </c>
      <c r="K27" s="455">
        <f t="shared" si="2"/>
        <v>19.131455399061032</v>
      </c>
      <c r="L27" s="462">
        <v>25</v>
      </c>
      <c r="M27" s="80">
        <v>0.18386187366871665</v>
      </c>
      <c r="N27">
        <v>1.7400370303882048E-3</v>
      </c>
      <c r="O27">
        <v>2.5634215762284396</v>
      </c>
      <c r="P27">
        <v>3.2525572321340498E-2</v>
      </c>
      <c r="Q27">
        <v>0.58640555578597042</v>
      </c>
      <c r="R27">
        <v>2.4305225313514258</v>
      </c>
      <c r="S27" s="4">
        <v>2.2338074121100675</v>
      </c>
      <c r="T27" s="80">
        <v>4.8039098462962261E-3</v>
      </c>
      <c r="U27">
        <v>3.4414533180416968E-3</v>
      </c>
      <c r="V27">
        <v>0.12141008153194979</v>
      </c>
      <c r="W27">
        <v>2.4739537530821347</v>
      </c>
      <c r="X27">
        <v>3.6101970111533058E-2</v>
      </c>
      <c r="Y27">
        <v>6.9389938185198188E-4</v>
      </c>
      <c r="Z27" s="4">
        <v>1.5751541428113726E-2</v>
      </c>
    </row>
    <row r="28" spans="2:26" ht="15.75" thickBot="1" x14ac:dyDescent="0.3">
      <c r="B28" s="853"/>
      <c r="C28" s="636"/>
      <c r="D28" s="33">
        <v>18</v>
      </c>
      <c r="E28" s="82" t="s">
        <v>314</v>
      </c>
      <c r="F28" s="474">
        <v>1.837</v>
      </c>
      <c r="G28" s="475">
        <v>17.030999999999999</v>
      </c>
      <c r="H28" s="460">
        <v>13</v>
      </c>
      <c r="I28" s="473">
        <f t="shared" si="0"/>
        <v>221.40299999999999</v>
      </c>
      <c r="J28" s="474">
        <f t="shared" si="1"/>
        <v>7.3395572779049969</v>
      </c>
      <c r="K28" s="460">
        <f t="shared" si="2"/>
        <v>17.660442722095002</v>
      </c>
      <c r="L28" s="473">
        <v>25</v>
      </c>
      <c r="M28" s="80">
        <v>9.2839840721293088E-2</v>
      </c>
      <c r="N28">
        <v>7.9683624228420581E-4</v>
      </c>
      <c r="O28">
        <v>1.6649141927387143</v>
      </c>
      <c r="P28">
        <v>2.3731705038383767E-2</v>
      </c>
      <c r="Q28">
        <v>0.27983224189481598</v>
      </c>
      <c r="R28">
        <v>1.773525388695004</v>
      </c>
      <c r="S28" s="4">
        <v>1.2688268749548983</v>
      </c>
      <c r="T28" s="80">
        <v>5.0064626120087559E-3</v>
      </c>
      <c r="U28">
        <v>4.8092729253696467E-2</v>
      </c>
      <c r="V28">
        <v>0.12716630660348799</v>
      </c>
      <c r="W28">
        <v>2.2905981691953738</v>
      </c>
      <c r="X28">
        <v>2.8803304260427709E-2</v>
      </c>
      <c r="Y28">
        <v>3.8728001425148215E-4</v>
      </c>
      <c r="Z28" s="4">
        <v>1.0534349882754056E-2</v>
      </c>
    </row>
    <row r="29" spans="2:26" x14ac:dyDescent="0.25">
      <c r="B29" s="851" t="s">
        <v>229</v>
      </c>
      <c r="C29" s="638" t="s">
        <v>144</v>
      </c>
      <c r="D29" s="39">
        <v>19</v>
      </c>
      <c r="E29" s="251" t="s">
        <v>313</v>
      </c>
      <c r="F29" s="465">
        <v>1.8759999999999999</v>
      </c>
      <c r="G29" s="466">
        <v>12.712</v>
      </c>
      <c r="H29" s="457">
        <v>13</v>
      </c>
      <c r="I29" s="462">
        <f t="shared" si="0"/>
        <v>165.256</v>
      </c>
      <c r="J29" s="469">
        <f t="shared" si="1"/>
        <v>9.8332284455632468</v>
      </c>
      <c r="K29" s="455">
        <f t="shared" si="2"/>
        <v>15.166771554436753</v>
      </c>
      <c r="L29" s="462">
        <v>25</v>
      </c>
      <c r="M29" s="375">
        <v>8.4597056560715041E-3</v>
      </c>
      <c r="N29" s="8">
        <v>1.8803191967070713E-3</v>
      </c>
      <c r="O29" s="8">
        <v>0.43995203635466251</v>
      </c>
      <c r="P29" s="8">
        <v>2.5580125749891179E-4</v>
      </c>
      <c r="Q29" s="8">
        <v>9.3804962413047491E-2</v>
      </c>
      <c r="R29" s="455" t="s">
        <v>354</v>
      </c>
      <c r="S29" s="9">
        <v>1.3306908426646076</v>
      </c>
      <c r="T29" s="375">
        <v>9.0016301368748379E-3</v>
      </c>
      <c r="U29" s="8">
        <v>1.2753159973529427E-2</v>
      </c>
      <c r="V29" s="8">
        <v>5.2326871179610573E-2</v>
      </c>
      <c r="W29" s="8">
        <v>7.3926985454398348</v>
      </c>
      <c r="X29" s="8">
        <v>0.1163467365947847</v>
      </c>
      <c r="Y29" s="455">
        <v>2.3951046368279657E-3</v>
      </c>
      <c r="Z29" s="9">
        <v>7.5584009001393006E-3</v>
      </c>
    </row>
    <row r="30" spans="2:26" x14ac:dyDescent="0.25">
      <c r="B30" s="852"/>
      <c r="C30" s="696"/>
      <c r="D30" s="37">
        <v>20</v>
      </c>
      <c r="E30" s="79" t="s">
        <v>314</v>
      </c>
      <c r="F30" s="467">
        <v>1.6160000000000001</v>
      </c>
      <c r="G30" s="468">
        <v>13.323</v>
      </c>
      <c r="H30" s="458">
        <v>13</v>
      </c>
      <c r="I30" s="464">
        <f t="shared" si="0"/>
        <v>173.19900000000001</v>
      </c>
      <c r="J30" s="470">
        <f t="shared" si="1"/>
        <v>9.3822712602266751</v>
      </c>
      <c r="K30" s="456">
        <f t="shared" si="2"/>
        <v>15.617728739773325</v>
      </c>
      <c r="L30" s="464">
        <v>25</v>
      </c>
      <c r="M30" s="80">
        <v>3.6144969789982466E-3</v>
      </c>
      <c r="N30">
        <v>5.8129598044893444E-3</v>
      </c>
      <c r="O30">
        <v>0.29417374351227032</v>
      </c>
      <c r="P30">
        <v>1.5787342276076563E-4</v>
      </c>
      <c r="Q30">
        <v>3.8042002461278611E-2</v>
      </c>
      <c r="R30" s="456" t="s">
        <v>354</v>
      </c>
      <c r="S30" s="4">
        <v>0.76617948824939242</v>
      </c>
      <c r="T30" s="80">
        <v>1.0960192060179031E-2</v>
      </c>
      <c r="U30">
        <v>7.4440004843105423E-3</v>
      </c>
      <c r="V30">
        <v>5.3633428701053358E-2</v>
      </c>
      <c r="W30">
        <v>3.4429582761343589</v>
      </c>
      <c r="X30">
        <v>7.0914688648592461E-2</v>
      </c>
      <c r="Y30" s="456">
        <v>2.9885811786010056E-3</v>
      </c>
      <c r="Z30" s="4">
        <v>5.6207013700269072E-3</v>
      </c>
    </row>
    <row r="31" spans="2:26" x14ac:dyDescent="0.25">
      <c r="B31" s="852"/>
      <c r="C31" s="696"/>
      <c r="D31" s="37">
        <v>29</v>
      </c>
      <c r="E31" s="79" t="s">
        <v>315</v>
      </c>
      <c r="F31" s="467">
        <v>1.8420000000000001</v>
      </c>
      <c r="G31" s="468">
        <v>5.0149999999999997</v>
      </c>
      <c r="H31" s="458">
        <v>13</v>
      </c>
      <c r="I31" s="464">
        <f t="shared" si="0"/>
        <v>65.194999999999993</v>
      </c>
      <c r="J31" s="470">
        <f t="shared" si="1"/>
        <v>24.925224327018945</v>
      </c>
      <c r="K31" s="456">
        <f t="shared" si="2"/>
        <v>7.4775672981054697E-2</v>
      </c>
      <c r="L31" s="464">
        <v>25</v>
      </c>
      <c r="M31" s="80"/>
      <c r="S31" s="4"/>
      <c r="T31" s="80"/>
      <c r="Z31" s="4"/>
    </row>
    <row r="32" spans="2:26" x14ac:dyDescent="0.25">
      <c r="B32" s="852"/>
      <c r="C32" s="696"/>
      <c r="D32" s="37">
        <v>30</v>
      </c>
      <c r="E32" s="79" t="s">
        <v>316</v>
      </c>
      <c r="F32" s="467">
        <v>1.4490000000000001</v>
      </c>
      <c r="G32" s="468">
        <v>11.757999999999999</v>
      </c>
      <c r="H32" s="458">
        <v>13</v>
      </c>
      <c r="I32" s="464">
        <f t="shared" si="0"/>
        <v>152.85399999999998</v>
      </c>
      <c r="J32" s="470">
        <f t="shared" si="1"/>
        <v>10.6310597040313</v>
      </c>
      <c r="K32" s="456">
        <f t="shared" si="2"/>
        <v>14.3689402959687</v>
      </c>
      <c r="L32" s="464">
        <v>25</v>
      </c>
      <c r="M32" s="80">
        <v>2.9229433259373171E-2</v>
      </c>
      <c r="N32">
        <v>4.6465651884416538E-3</v>
      </c>
      <c r="O32">
        <v>0.37796430516061941</v>
      </c>
      <c r="P32">
        <v>1.8876005667735752E-4</v>
      </c>
      <c r="Q32">
        <v>9.4970936748610471E-2</v>
      </c>
      <c r="R32">
        <v>6.6084764032937455</v>
      </c>
      <c r="S32" s="4">
        <v>2.8018518476924625</v>
      </c>
      <c r="T32" s="80">
        <v>2.0990850858192338E-3</v>
      </c>
      <c r="U32">
        <v>3.8267940641717657E-3</v>
      </c>
      <c r="V32">
        <v>5.8637087655495794E-2</v>
      </c>
      <c r="W32">
        <v>4.098437038424394</v>
      </c>
      <c r="X32">
        <v>5.8884004342021519E-2</v>
      </c>
      <c r="Y32">
        <v>8.7521851854726186E-4</v>
      </c>
      <c r="Z32" s="4">
        <v>1.6522174452117105E-3</v>
      </c>
    </row>
    <row r="33" spans="2:26" ht="15.75" thickBot="1" x14ac:dyDescent="0.3">
      <c r="B33" s="853"/>
      <c r="C33" s="639"/>
      <c r="D33" s="33">
        <v>37</v>
      </c>
      <c r="E33" s="82" t="s">
        <v>317</v>
      </c>
      <c r="F33" s="471">
        <v>1.94</v>
      </c>
      <c r="G33" s="472">
        <v>9.0079999999999991</v>
      </c>
      <c r="H33" s="459">
        <v>13</v>
      </c>
      <c r="I33" s="473">
        <f t="shared" si="0"/>
        <v>117.10399999999998</v>
      </c>
      <c r="J33" s="474">
        <f t="shared" si="1"/>
        <v>13.876554174067497</v>
      </c>
      <c r="K33" s="460">
        <f t="shared" si="2"/>
        <v>11.123445825932503</v>
      </c>
      <c r="L33" s="473">
        <v>25</v>
      </c>
      <c r="M33" s="81">
        <v>8.5061227900406298E-3</v>
      </c>
      <c r="N33" s="6">
        <v>1.8774912078048638E-3</v>
      </c>
      <c r="O33" s="6">
        <v>1.1273426433647668E-2</v>
      </c>
      <c r="P33" s="6">
        <v>1.2005368820543427E-2</v>
      </c>
      <c r="Q33" s="6">
        <v>2.7708634799865203E-3</v>
      </c>
      <c r="R33" s="6">
        <v>1.1134584939596112E-2</v>
      </c>
      <c r="S33" s="7">
        <v>1.6013206652118723</v>
      </c>
      <c r="T33" s="81">
        <v>6.5923596883100575E-4</v>
      </c>
      <c r="U33" s="6">
        <v>7.1845911737905208E-3</v>
      </c>
      <c r="V33" s="6">
        <v>0.18251954715562943</v>
      </c>
      <c r="W33" s="6">
        <v>15.067899095307059</v>
      </c>
      <c r="X33" s="6">
        <v>4.6752281397629207E-2</v>
      </c>
      <c r="Y33" s="6">
        <v>7.825623956960252E-4</v>
      </c>
      <c r="Z33" s="7">
        <v>3.7070984737313075E-3</v>
      </c>
    </row>
    <row r="34" spans="2:26" x14ac:dyDescent="0.25">
      <c r="B34" s="627" t="s">
        <v>230</v>
      </c>
      <c r="C34" s="638" t="s">
        <v>96</v>
      </c>
      <c r="D34" s="39">
        <v>21</v>
      </c>
      <c r="E34" s="251" t="s">
        <v>313</v>
      </c>
      <c r="F34" s="465">
        <v>2.4180000000000001</v>
      </c>
      <c r="G34" s="466">
        <v>3.3879999999999999</v>
      </c>
      <c r="H34" s="457">
        <v>11</v>
      </c>
      <c r="I34" s="462">
        <f t="shared" si="0"/>
        <v>37.268000000000001</v>
      </c>
      <c r="J34" s="469">
        <f t="shared" si="1"/>
        <v>36.894923258559622</v>
      </c>
      <c r="K34" s="455">
        <f t="shared" si="2"/>
        <v>-11.894923258559622</v>
      </c>
      <c r="L34" s="462">
        <v>25</v>
      </c>
      <c r="M34" s="8"/>
      <c r="N34" s="8"/>
      <c r="O34" s="8"/>
      <c r="P34" s="8"/>
      <c r="Q34" s="8"/>
      <c r="R34" s="8"/>
      <c r="S34" s="9"/>
      <c r="T34" s="375"/>
      <c r="U34" s="8"/>
      <c r="V34" s="8"/>
      <c r="W34" s="8"/>
      <c r="X34" s="8"/>
      <c r="Y34" s="8"/>
      <c r="Z34" s="9"/>
    </row>
    <row r="35" spans="2:26" x14ac:dyDescent="0.25">
      <c r="B35" s="628"/>
      <c r="C35" s="696"/>
      <c r="D35" s="37">
        <v>22</v>
      </c>
      <c r="E35" s="79" t="s">
        <v>314</v>
      </c>
      <c r="F35" s="467">
        <v>1.41</v>
      </c>
      <c r="G35" s="468">
        <v>6.3070000000000004</v>
      </c>
      <c r="H35" s="458">
        <v>13</v>
      </c>
      <c r="I35" s="464">
        <f t="shared" si="0"/>
        <v>81.991</v>
      </c>
      <c r="J35" s="470">
        <f t="shared" si="1"/>
        <v>19.81924845409862</v>
      </c>
      <c r="K35" s="456">
        <f t="shared" si="2"/>
        <v>5.18075154590138</v>
      </c>
      <c r="L35" s="464">
        <v>25</v>
      </c>
      <c r="S35" s="4"/>
      <c r="T35" s="80"/>
      <c r="Z35" s="4"/>
    </row>
    <row r="36" spans="2:26" x14ac:dyDescent="0.25">
      <c r="B36" s="628"/>
      <c r="C36" s="696"/>
      <c r="D36" s="37">
        <v>38</v>
      </c>
      <c r="E36" s="79" t="s">
        <v>315</v>
      </c>
      <c r="F36" s="467">
        <v>1.66</v>
      </c>
      <c r="G36" s="468">
        <v>4.2910000000000004</v>
      </c>
      <c r="H36" s="458">
        <v>11</v>
      </c>
      <c r="I36" s="464">
        <f t="shared" si="0"/>
        <v>47.201000000000008</v>
      </c>
      <c r="J36" s="470">
        <f t="shared" si="1"/>
        <v>29.130738755534839</v>
      </c>
      <c r="K36" s="456">
        <f t="shared" si="2"/>
        <v>-4.1307387555348392</v>
      </c>
      <c r="L36" s="464">
        <v>25</v>
      </c>
      <c r="S36" s="4"/>
      <c r="T36" s="80"/>
      <c r="Z36" s="4"/>
    </row>
    <row r="37" spans="2:26" x14ac:dyDescent="0.25">
      <c r="B37" s="628"/>
      <c r="C37" s="696"/>
      <c r="D37" s="37">
        <v>39</v>
      </c>
      <c r="E37" s="79" t="s">
        <v>316</v>
      </c>
      <c r="F37" s="467">
        <v>1.964</v>
      </c>
      <c r="G37" s="468">
        <v>8.3610000000000007</v>
      </c>
      <c r="H37" s="458">
        <v>11</v>
      </c>
      <c r="I37" s="464">
        <f t="shared" si="0"/>
        <v>91.971000000000004</v>
      </c>
      <c r="J37" s="470">
        <f t="shared" si="1"/>
        <v>14.950364788900847</v>
      </c>
      <c r="K37" s="456">
        <f t="shared" si="2"/>
        <v>10.049635211099153</v>
      </c>
      <c r="L37" s="464">
        <v>25</v>
      </c>
      <c r="S37" s="4"/>
      <c r="T37" s="80"/>
      <c r="Z37" s="4"/>
    </row>
    <row r="38" spans="2:26" x14ac:dyDescent="0.25">
      <c r="B38" s="628"/>
      <c r="C38" s="696"/>
      <c r="D38" s="37">
        <v>40</v>
      </c>
      <c r="E38" s="79" t="s">
        <v>317</v>
      </c>
      <c r="F38" s="467">
        <v>2.2909999999999999</v>
      </c>
      <c r="G38" s="468">
        <v>6.1230000000000002</v>
      </c>
      <c r="H38" s="458">
        <v>11</v>
      </c>
      <c r="I38" s="464">
        <f t="shared" si="0"/>
        <v>67.353000000000009</v>
      </c>
      <c r="J38" s="470">
        <f t="shared" si="1"/>
        <v>20.414829332026784</v>
      </c>
      <c r="K38" s="456">
        <f t="shared" si="2"/>
        <v>4.585170667973216</v>
      </c>
      <c r="L38" s="464">
        <v>25</v>
      </c>
      <c r="S38" s="4"/>
      <c r="T38" s="80"/>
      <c r="Z38" s="4"/>
    </row>
    <row r="39" spans="2:26" ht="15.75" thickBot="1" x14ac:dyDescent="0.3">
      <c r="B39" s="629"/>
      <c r="C39" s="639"/>
      <c r="D39" s="33">
        <v>45</v>
      </c>
      <c r="E39" s="82" t="s">
        <v>318</v>
      </c>
      <c r="F39" s="474">
        <v>1.4390000000000001</v>
      </c>
      <c r="G39" s="475">
        <v>4.3730000000000002</v>
      </c>
      <c r="H39" s="460">
        <v>11</v>
      </c>
      <c r="I39" s="473">
        <f t="shared" si="0"/>
        <v>48.103000000000002</v>
      </c>
      <c r="J39" s="474">
        <f t="shared" si="1"/>
        <v>28.584495769494623</v>
      </c>
      <c r="K39" s="460">
        <f t="shared" si="2"/>
        <v>-3.5844957694946231</v>
      </c>
      <c r="L39" s="473">
        <v>25</v>
      </c>
      <c r="M39" s="6"/>
      <c r="N39" s="6"/>
      <c r="O39" s="6"/>
      <c r="P39" s="6"/>
      <c r="Q39" s="6"/>
      <c r="R39" s="6"/>
      <c r="S39" s="7"/>
      <c r="T39" s="81"/>
      <c r="U39" s="6"/>
      <c r="V39" s="6"/>
      <c r="W39" s="6"/>
      <c r="X39" s="6"/>
      <c r="Y39" s="6"/>
      <c r="Z39" s="7"/>
    </row>
    <row r="40" spans="2:26" x14ac:dyDescent="0.25">
      <c r="B40" s="848" t="s">
        <v>234</v>
      </c>
      <c r="C40" s="638" t="s">
        <v>95</v>
      </c>
      <c r="D40" s="39">
        <v>23</v>
      </c>
      <c r="E40" s="251" t="s">
        <v>313</v>
      </c>
      <c r="F40" s="465">
        <v>1.2090000000000001</v>
      </c>
      <c r="G40" s="466">
        <v>6.7759999999999998</v>
      </c>
      <c r="H40" s="457">
        <v>11</v>
      </c>
      <c r="I40" s="462">
        <f t="shared" si="0"/>
        <v>74.536000000000001</v>
      </c>
      <c r="J40" s="469">
        <f t="shared" si="1"/>
        <v>18.447461629279811</v>
      </c>
      <c r="K40" s="455">
        <f t="shared" si="2"/>
        <v>6.552538370720189</v>
      </c>
      <c r="L40" s="462">
        <v>25</v>
      </c>
      <c r="M40" s="8"/>
      <c r="N40" s="8"/>
      <c r="O40" s="8"/>
      <c r="P40" s="8"/>
      <c r="Q40" s="8"/>
      <c r="R40" s="8"/>
      <c r="S40" s="9"/>
      <c r="T40" s="375"/>
      <c r="U40" s="8"/>
      <c r="V40" s="8"/>
      <c r="W40" s="8"/>
      <c r="X40" s="8"/>
      <c r="Y40" s="8"/>
      <c r="Z40" s="9"/>
    </row>
    <row r="41" spans="2:26" x14ac:dyDescent="0.25">
      <c r="B41" s="849"/>
      <c r="C41" s="696"/>
      <c r="D41" s="37">
        <v>24</v>
      </c>
      <c r="E41" s="79" t="s">
        <v>314</v>
      </c>
      <c r="F41" s="467">
        <v>1.643</v>
      </c>
      <c r="G41" s="468">
        <v>7.9039999999999999</v>
      </c>
      <c r="H41" s="458">
        <v>13</v>
      </c>
      <c r="I41" s="464">
        <f t="shared" si="0"/>
        <v>102.752</v>
      </c>
      <c r="J41" s="470">
        <f t="shared" si="1"/>
        <v>15.814777327935223</v>
      </c>
      <c r="K41" s="456">
        <f t="shared" si="2"/>
        <v>9.1852226720647767</v>
      </c>
      <c r="L41" s="464">
        <v>25</v>
      </c>
      <c r="S41" s="4"/>
      <c r="T41" s="80"/>
      <c r="Z41" s="4"/>
    </row>
    <row r="42" spans="2:26" x14ac:dyDescent="0.25">
      <c r="B42" s="849"/>
      <c r="C42" s="696"/>
      <c r="D42" s="37">
        <v>41</v>
      </c>
      <c r="E42" s="79" t="s">
        <v>315</v>
      </c>
      <c r="F42" s="467">
        <v>1.744</v>
      </c>
      <c r="G42" s="468">
        <v>7.617</v>
      </c>
      <c r="H42" s="458">
        <v>13</v>
      </c>
      <c r="I42" s="464">
        <f t="shared" si="0"/>
        <v>99.021000000000001</v>
      </c>
      <c r="J42" s="470">
        <f t="shared" si="1"/>
        <v>16.410660364973086</v>
      </c>
      <c r="K42" s="456">
        <f t="shared" si="2"/>
        <v>8.5893396350269136</v>
      </c>
      <c r="L42" s="464">
        <v>25</v>
      </c>
      <c r="S42" s="4"/>
      <c r="T42" s="80"/>
      <c r="Z42" s="4"/>
    </row>
    <row r="43" spans="2:26" x14ac:dyDescent="0.25">
      <c r="B43" s="849"/>
      <c r="C43" s="696"/>
      <c r="D43" s="37">
        <v>42</v>
      </c>
      <c r="E43" s="79" t="s">
        <v>316</v>
      </c>
      <c r="F43" s="467">
        <v>2.8570000000000002</v>
      </c>
      <c r="G43" s="468">
        <v>2.0619999999999998</v>
      </c>
      <c r="H43" s="458">
        <v>11</v>
      </c>
      <c r="I43" s="464">
        <f t="shared" si="0"/>
        <v>22.681999999999999</v>
      </c>
      <c r="J43" s="470">
        <f t="shared" si="1"/>
        <v>60.620756547041715</v>
      </c>
      <c r="K43" s="456">
        <f t="shared" si="2"/>
        <v>-35.620756547041715</v>
      </c>
      <c r="L43" s="464">
        <v>25</v>
      </c>
      <c r="S43" s="4"/>
      <c r="T43" s="80"/>
      <c r="Z43" s="4"/>
    </row>
    <row r="44" spans="2:26" x14ac:dyDescent="0.25">
      <c r="B44" s="849"/>
      <c r="C44" s="696"/>
      <c r="D44" s="37">
        <v>46</v>
      </c>
      <c r="E44" s="79" t="s">
        <v>317</v>
      </c>
      <c r="F44" s="470">
        <v>1.6919999999999999</v>
      </c>
      <c r="G44" s="463">
        <v>5.202</v>
      </c>
      <c r="H44" s="456">
        <v>11</v>
      </c>
      <c r="I44" s="464">
        <f t="shared" si="0"/>
        <v>57.222000000000001</v>
      </c>
      <c r="J44" s="470">
        <f t="shared" si="1"/>
        <v>24.029219530949636</v>
      </c>
      <c r="K44" s="456">
        <f t="shared" si="2"/>
        <v>0.9707804690503643</v>
      </c>
      <c r="L44" s="464">
        <v>25</v>
      </c>
      <c r="S44" s="4"/>
      <c r="T44" s="80"/>
      <c r="Z44" s="4"/>
    </row>
    <row r="45" spans="2:26" ht="15.75" thickBot="1" x14ac:dyDescent="0.3">
      <c r="B45" s="850"/>
      <c r="C45" s="639"/>
      <c r="D45" s="33">
        <v>47</v>
      </c>
      <c r="E45" s="82" t="s">
        <v>318</v>
      </c>
      <c r="F45" s="474">
        <v>1.4019999999999999</v>
      </c>
      <c r="G45" s="475">
        <v>5.9480000000000004</v>
      </c>
      <c r="H45" s="460">
        <v>11</v>
      </c>
      <c r="I45" s="473">
        <f t="shared" si="0"/>
        <v>65.427999999999997</v>
      </c>
      <c r="J45" s="474">
        <f t="shared" si="1"/>
        <v>21.015467383994618</v>
      </c>
      <c r="K45" s="460">
        <f t="shared" si="2"/>
        <v>3.9845326160053816</v>
      </c>
      <c r="L45" s="473">
        <v>25</v>
      </c>
      <c r="M45" s="6"/>
      <c r="N45" s="6"/>
      <c r="O45" s="6"/>
      <c r="P45" s="6"/>
      <c r="Q45" s="6"/>
      <c r="R45" s="6"/>
      <c r="S45" s="7"/>
      <c r="T45" s="81"/>
      <c r="U45" s="6"/>
      <c r="V45" s="6"/>
      <c r="W45" s="6"/>
      <c r="X45" s="6"/>
      <c r="Y45" s="6"/>
      <c r="Z45" s="7"/>
    </row>
    <row r="46" spans="2:26" x14ac:dyDescent="0.25">
      <c r="B46" s="848" t="s">
        <v>231</v>
      </c>
      <c r="C46" s="638" t="s">
        <v>92</v>
      </c>
      <c r="D46" s="39">
        <v>31</v>
      </c>
      <c r="E46" s="251" t="s">
        <v>313</v>
      </c>
      <c r="F46" s="465">
        <v>1.833</v>
      </c>
      <c r="G46" s="466">
        <v>6.399</v>
      </c>
      <c r="H46" s="457">
        <v>13</v>
      </c>
      <c r="I46" s="462">
        <f t="shared" si="0"/>
        <v>83.186999999999998</v>
      </c>
      <c r="J46" s="469">
        <f t="shared" si="1"/>
        <v>19.534302234724176</v>
      </c>
      <c r="K46" s="455">
        <f t="shared" si="2"/>
        <v>5.4656977652758236</v>
      </c>
      <c r="L46" s="462">
        <v>25</v>
      </c>
      <c r="M46" s="8"/>
      <c r="N46" s="8"/>
      <c r="O46" s="8"/>
      <c r="P46" s="8"/>
      <c r="Q46" s="8"/>
      <c r="R46" s="8"/>
      <c r="S46" s="9"/>
      <c r="T46" s="375"/>
      <c r="U46" s="8"/>
      <c r="V46" s="8"/>
      <c r="W46" s="8"/>
      <c r="X46" s="8"/>
      <c r="Y46" s="8"/>
      <c r="Z46" s="9"/>
    </row>
    <row r="47" spans="2:26" x14ac:dyDescent="0.25">
      <c r="B47" s="849"/>
      <c r="C47" s="696"/>
      <c r="D47" s="37">
        <v>32</v>
      </c>
      <c r="E47" s="79" t="s">
        <v>314</v>
      </c>
      <c r="F47" s="467">
        <v>1.409</v>
      </c>
      <c r="G47" s="468">
        <v>6.9909999999999997</v>
      </c>
      <c r="H47" s="458">
        <v>13</v>
      </c>
      <c r="I47" s="464">
        <f t="shared" si="0"/>
        <v>90.882999999999996</v>
      </c>
      <c r="J47" s="470">
        <f t="shared" si="1"/>
        <v>17.88013159776856</v>
      </c>
      <c r="K47" s="456">
        <f t="shared" si="2"/>
        <v>7.1198684022314396</v>
      </c>
      <c r="L47" s="464">
        <v>25</v>
      </c>
      <c r="S47" s="4"/>
      <c r="T47" s="80"/>
      <c r="Z47" s="4"/>
    </row>
    <row r="48" spans="2:26" x14ac:dyDescent="0.25">
      <c r="B48" s="849"/>
      <c r="C48" s="696"/>
      <c r="D48" s="37">
        <v>43</v>
      </c>
      <c r="E48" s="79" t="s">
        <v>315</v>
      </c>
      <c r="F48" s="467">
        <v>2.2250000000000001</v>
      </c>
      <c r="G48" s="468">
        <v>2.2669999999999999</v>
      </c>
      <c r="H48" s="458">
        <v>11</v>
      </c>
      <c r="I48" s="464">
        <f t="shared" si="0"/>
        <v>24.936999999999998</v>
      </c>
      <c r="J48" s="470">
        <f t="shared" si="1"/>
        <v>55.138950154389065</v>
      </c>
      <c r="K48" s="456">
        <f t="shared" si="2"/>
        <v>-30.138950154389065</v>
      </c>
      <c r="L48" s="464">
        <v>25</v>
      </c>
      <c r="S48" s="4"/>
      <c r="T48" s="80"/>
      <c r="Z48" s="4"/>
    </row>
    <row r="49" spans="2:26" x14ac:dyDescent="0.25">
      <c r="B49" s="849"/>
      <c r="C49" s="696"/>
      <c r="D49" s="37">
        <v>44</v>
      </c>
      <c r="E49" s="79" t="s">
        <v>316</v>
      </c>
      <c r="F49" s="467">
        <v>1.946</v>
      </c>
      <c r="G49" s="468">
        <v>5.6349999999999998</v>
      </c>
      <c r="H49" s="458">
        <v>11</v>
      </c>
      <c r="I49" s="464">
        <f t="shared" si="0"/>
        <v>61.984999999999999</v>
      </c>
      <c r="J49" s="470">
        <f t="shared" si="1"/>
        <v>22.18278615794144</v>
      </c>
      <c r="K49" s="456">
        <f t="shared" si="2"/>
        <v>2.8172138420585604</v>
      </c>
      <c r="L49" s="464">
        <v>25</v>
      </c>
      <c r="S49" s="4"/>
      <c r="T49" s="80"/>
      <c r="Z49" s="4"/>
    </row>
    <row r="50" spans="2:26" x14ac:dyDescent="0.25">
      <c r="B50" s="849"/>
      <c r="C50" s="696"/>
      <c r="D50" s="37">
        <v>48</v>
      </c>
      <c r="E50" s="79" t="s">
        <v>317</v>
      </c>
      <c r="F50" s="470">
        <v>2.8210000000000002</v>
      </c>
      <c r="G50" s="463">
        <v>4.4710000000000001</v>
      </c>
      <c r="H50" s="456">
        <v>11</v>
      </c>
      <c r="I50" s="464">
        <f t="shared" si="0"/>
        <v>49.180999999999997</v>
      </c>
      <c r="J50" s="470">
        <f t="shared" si="1"/>
        <v>27.957951241333035</v>
      </c>
      <c r="K50" s="456">
        <f t="shared" si="2"/>
        <v>-2.9579512413330349</v>
      </c>
      <c r="L50" s="464">
        <v>25</v>
      </c>
      <c r="S50" s="4"/>
      <c r="T50" s="80"/>
      <c r="Z50" s="4"/>
    </row>
    <row r="51" spans="2:26" ht="15.75" thickBot="1" x14ac:dyDescent="0.3">
      <c r="B51" s="850"/>
      <c r="C51" s="639"/>
      <c r="D51" s="33">
        <v>49</v>
      </c>
      <c r="E51" s="82" t="s">
        <v>318</v>
      </c>
      <c r="F51" s="470">
        <v>1.994</v>
      </c>
      <c r="G51" s="463">
        <v>4.343</v>
      </c>
      <c r="H51" s="456">
        <v>11</v>
      </c>
      <c r="I51" s="464">
        <f t="shared" si="0"/>
        <v>47.772999999999996</v>
      </c>
      <c r="J51" s="474">
        <f t="shared" si="1"/>
        <v>28.781947962238085</v>
      </c>
      <c r="K51" s="460">
        <f t="shared" si="2"/>
        <v>-3.7819479622380854</v>
      </c>
      <c r="L51" s="473">
        <v>25</v>
      </c>
      <c r="S51" s="4"/>
      <c r="T51" s="80"/>
      <c r="Z51" s="4"/>
    </row>
    <row r="52" spans="2:26" x14ac:dyDescent="0.25">
      <c r="B52" s="627" t="s">
        <v>363</v>
      </c>
      <c r="C52" s="638" t="s">
        <v>95</v>
      </c>
      <c r="D52" s="240">
        <v>56</v>
      </c>
      <c r="E52" s="251" t="s">
        <v>313</v>
      </c>
      <c r="F52" s="501">
        <v>1.7509999999999999</v>
      </c>
      <c r="G52" s="506">
        <v>10.156000000000001</v>
      </c>
      <c r="H52" s="202">
        <v>13</v>
      </c>
      <c r="I52" s="9">
        <f t="shared" si="0"/>
        <v>132.02800000000002</v>
      </c>
      <c r="J52" s="375">
        <f t="shared" si="1"/>
        <v>12.307995273729814</v>
      </c>
      <c r="K52" s="8">
        <f t="shared" si="2"/>
        <v>12.692004726270186</v>
      </c>
      <c r="L52" s="9">
        <v>25</v>
      </c>
      <c r="M52" s="375">
        <v>7.0329400283496241E-2</v>
      </c>
      <c r="N52" s="8">
        <v>1.2936756829723114E-2</v>
      </c>
      <c r="O52" s="8">
        <v>6.913023240631782</v>
      </c>
      <c r="P52" s="8">
        <v>1.1687132183264817E-3</v>
      </c>
      <c r="Q52" s="8">
        <v>4.0580691402784144</v>
      </c>
      <c r="R52" s="8">
        <v>1.8511080645125916E-3</v>
      </c>
      <c r="S52" s="9">
        <v>1.7615456514505648E-2</v>
      </c>
      <c r="T52" s="375">
        <v>1.0291985679369504E-4</v>
      </c>
      <c r="U52" s="8">
        <v>1.0483333613487038E-4</v>
      </c>
      <c r="V52" s="8">
        <v>0.32592081660446481</v>
      </c>
      <c r="W52" s="8">
        <v>0.54515359991024659</v>
      </c>
      <c r="X52" s="8">
        <v>1.8657075544884882E-3</v>
      </c>
      <c r="Y52" s="8">
        <v>2.3365360709532624E-5</v>
      </c>
      <c r="Z52" s="9">
        <v>9.8051941955458417E-5</v>
      </c>
    </row>
    <row r="53" spans="2:26" x14ac:dyDescent="0.25">
      <c r="B53" s="628"/>
      <c r="C53" s="696"/>
      <c r="D53" s="40">
        <v>57</v>
      </c>
      <c r="E53" s="79" t="s">
        <v>314</v>
      </c>
      <c r="F53" s="502">
        <v>1.639</v>
      </c>
      <c r="G53" s="507">
        <v>12.298</v>
      </c>
      <c r="H53" s="132">
        <v>13</v>
      </c>
      <c r="I53" s="4">
        <f t="shared" si="0"/>
        <v>159.874</v>
      </c>
      <c r="J53" s="80">
        <f t="shared" si="1"/>
        <v>10.164254350300862</v>
      </c>
      <c r="K53">
        <f t="shared" si="2"/>
        <v>14.835745649699138</v>
      </c>
      <c r="L53" s="4">
        <v>25</v>
      </c>
      <c r="M53" s="80">
        <v>0.22321571121135267</v>
      </c>
      <c r="N53">
        <v>8.1299398333038522E-3</v>
      </c>
      <c r="O53">
        <v>7.6971632135496453</v>
      </c>
      <c r="P53">
        <v>3.7612922095980228E-3</v>
      </c>
      <c r="Q53">
        <v>5.2863280617856319</v>
      </c>
      <c r="R53">
        <v>1.6280341833187983E-3</v>
      </c>
      <c r="S53" s="4">
        <v>6.6210152447222729E-3</v>
      </c>
      <c r="T53" s="80" t="e">
        <v>#VALUE!</v>
      </c>
      <c r="U53">
        <v>3.6608585038407495E-5</v>
      </c>
      <c r="V53">
        <v>6.5197257708106172E-3</v>
      </c>
      <c r="W53">
        <v>0.19662546112582946</v>
      </c>
      <c r="X53">
        <v>2.5787423308621773E-3</v>
      </c>
      <c r="Y53" t="e">
        <v>#VALUE!</v>
      </c>
      <c r="Z53" s="4">
        <v>1.0506157205767718E-4</v>
      </c>
    </row>
    <row r="54" spans="2:26" x14ac:dyDescent="0.25">
      <c r="B54" s="628"/>
      <c r="C54" s="696"/>
      <c r="D54" s="40">
        <v>52</v>
      </c>
      <c r="E54" s="79" t="s">
        <v>315</v>
      </c>
      <c r="F54" s="503">
        <v>1.958</v>
      </c>
      <c r="G54" s="508">
        <v>14.087</v>
      </c>
      <c r="H54" s="132">
        <v>13</v>
      </c>
      <c r="I54" s="4">
        <f t="shared" si="0"/>
        <v>183.131</v>
      </c>
      <c r="J54" s="80">
        <f t="shared" si="1"/>
        <v>8.8734294029956704</v>
      </c>
      <c r="K54">
        <f t="shared" si="2"/>
        <v>16.126570597004331</v>
      </c>
      <c r="L54" s="4">
        <v>25</v>
      </c>
      <c r="M54" s="80">
        <v>8.2559670881408628E-2</v>
      </c>
      <c r="N54">
        <v>2.5194489134357317E-2</v>
      </c>
      <c r="O54">
        <v>12.671388405595366</v>
      </c>
      <c r="P54">
        <v>5.5559515266873204E-3</v>
      </c>
      <c r="Q54">
        <v>7.9737658098670714</v>
      </c>
      <c r="R54">
        <v>4.2985066197412318E-2</v>
      </c>
      <c r="S54" s="4">
        <v>0.11492193010279267</v>
      </c>
      <c r="T54" s="80" t="e">
        <v>#VALUE!</v>
      </c>
      <c r="U54">
        <v>1.6696472911596576E-4</v>
      </c>
      <c r="V54">
        <v>1.6686284440618582E-2</v>
      </c>
      <c r="W54">
        <v>0.46404724788741891</v>
      </c>
      <c r="X54">
        <v>3.33614422636184E-3</v>
      </c>
      <c r="Y54">
        <v>9.7228167505566111E-5</v>
      </c>
      <c r="Z54" s="4">
        <v>5.9618270278644704E-5</v>
      </c>
    </row>
    <row r="55" spans="2:26" x14ac:dyDescent="0.25">
      <c r="B55" s="628"/>
      <c r="C55" s="696"/>
      <c r="D55" s="40">
        <v>50</v>
      </c>
      <c r="E55" s="79" t="s">
        <v>316</v>
      </c>
      <c r="F55" s="503">
        <v>-3.7069999999999999</v>
      </c>
      <c r="G55" s="508">
        <v>1.9490000000000001</v>
      </c>
      <c r="H55" s="132">
        <v>13</v>
      </c>
      <c r="I55" s="4">
        <f t="shared" si="0"/>
        <v>25.337</v>
      </c>
      <c r="J55" s="80">
        <f t="shared" si="1"/>
        <v>64.135454079014877</v>
      </c>
      <c r="K55">
        <f t="shared" si="2"/>
        <v>-39.135454079014877</v>
      </c>
      <c r="L55" s="4">
        <v>25</v>
      </c>
      <c r="M55" s="80"/>
      <c r="S55" s="4"/>
      <c r="T55" s="80"/>
      <c r="Z55" s="4"/>
    </row>
    <row r="56" spans="2:26" x14ac:dyDescent="0.25">
      <c r="B56" s="628"/>
      <c r="C56" s="696"/>
      <c r="D56" s="40">
        <v>59</v>
      </c>
      <c r="E56" s="79" t="s">
        <v>317</v>
      </c>
      <c r="F56" s="502">
        <v>1.4119999999999999</v>
      </c>
      <c r="G56" s="507">
        <v>8.1180000000000003</v>
      </c>
      <c r="H56" s="132">
        <v>13</v>
      </c>
      <c r="I56" s="4">
        <f t="shared" si="0"/>
        <v>105.53400000000001</v>
      </c>
      <c r="J56" s="80">
        <f t="shared" si="1"/>
        <v>15.397881251539788</v>
      </c>
      <c r="K56">
        <f t="shared" si="2"/>
        <v>9.602118748460212</v>
      </c>
      <c r="L56" s="4">
        <v>25</v>
      </c>
      <c r="M56" s="80" t="e">
        <v>#VALUE!</v>
      </c>
      <c r="N56">
        <v>0.340444365368333</v>
      </c>
      <c r="O56">
        <v>187.59721478250205</v>
      </c>
      <c r="P56">
        <v>2.0288811703586896E-3</v>
      </c>
      <c r="Q56">
        <v>109.20925898229331</v>
      </c>
      <c r="R56">
        <v>1.0383400432010949E-2</v>
      </c>
      <c r="S56" s="4">
        <v>3.9959106236325058E-2</v>
      </c>
      <c r="T56" s="80">
        <v>2.3176058833427019E-3</v>
      </c>
      <c r="U56">
        <v>7.3386685469179009E-5</v>
      </c>
      <c r="V56">
        <v>7.9792164525371273E-2</v>
      </c>
      <c r="W56">
        <v>0.49539077730310233</v>
      </c>
      <c r="X56">
        <v>2.2363242962772372E-3</v>
      </c>
      <c r="Y56" t="e">
        <v>#VALUE!</v>
      </c>
      <c r="Z56" s="4">
        <v>6.3065100379358993E-5</v>
      </c>
    </row>
    <row r="57" spans="2:26" x14ac:dyDescent="0.25">
      <c r="B57" s="628"/>
      <c r="C57" s="696"/>
      <c r="D57" s="40">
        <v>58</v>
      </c>
      <c r="E57" s="79" t="s">
        <v>318</v>
      </c>
      <c r="F57" s="502">
        <v>1.6459999999999999</v>
      </c>
      <c r="G57" s="507">
        <v>11.997999999999999</v>
      </c>
      <c r="H57" s="132">
        <v>13</v>
      </c>
      <c r="I57" s="4">
        <f t="shared" si="0"/>
        <v>155.97399999999999</v>
      </c>
      <c r="J57" s="80">
        <f t="shared" si="1"/>
        <v>10.418403067177863</v>
      </c>
      <c r="K57">
        <f t="shared" si="2"/>
        <v>14.581596932822137</v>
      </c>
      <c r="L57" s="4">
        <v>25</v>
      </c>
      <c r="M57" s="80">
        <v>0.11825743358702628</v>
      </c>
      <c r="N57">
        <v>1.0359356432375769E-2</v>
      </c>
      <c r="O57">
        <v>5.5321597684628649</v>
      </c>
      <c r="P57">
        <v>2.976582651194771E-3</v>
      </c>
      <c r="Q57">
        <v>3.6734534964769097</v>
      </c>
      <c r="R57">
        <v>1.8789493518448705E-3</v>
      </c>
      <c r="S57" s="4">
        <v>8.7031025037863884E-3</v>
      </c>
      <c r="T57" s="80" t="e">
        <v>#VALUE!</v>
      </c>
      <c r="U57">
        <v>6.1320923657227515E-5</v>
      </c>
      <c r="V57">
        <v>9.197023763063715E-3</v>
      </c>
      <c r="W57">
        <v>0.20795206216680848</v>
      </c>
      <c r="X57">
        <v>1.7829934258935718E-3</v>
      </c>
      <c r="Y57" t="e">
        <v>#VALUE!</v>
      </c>
      <c r="Z57" s="4">
        <v>6.0834083474684556E-5</v>
      </c>
    </row>
    <row r="58" spans="2:26" ht="15.75" thickBot="1" x14ac:dyDescent="0.3">
      <c r="B58" s="629"/>
      <c r="C58" s="639"/>
      <c r="D58" s="46">
        <v>51</v>
      </c>
      <c r="E58" s="82" t="s">
        <v>374</v>
      </c>
      <c r="F58" s="504">
        <v>1.6619999999999999</v>
      </c>
      <c r="G58" s="509">
        <v>7.2649999999999997</v>
      </c>
      <c r="H58" s="203">
        <v>13</v>
      </c>
      <c r="I58" s="7">
        <f t="shared" si="0"/>
        <v>94.444999999999993</v>
      </c>
      <c r="J58" s="81">
        <f t="shared" si="1"/>
        <v>17.20578114246387</v>
      </c>
      <c r="K58" s="6">
        <f t="shared" si="2"/>
        <v>7.79421885753613</v>
      </c>
      <c r="L58" s="7">
        <v>25</v>
      </c>
      <c r="M58" s="81">
        <v>1.6381308090170452</v>
      </c>
      <c r="N58" s="6">
        <v>0.24349901969230905</v>
      </c>
      <c r="O58" s="6">
        <v>117.51561481147672</v>
      </c>
      <c r="P58" s="6">
        <v>1.9109811974270595E-3</v>
      </c>
      <c r="Q58" s="6">
        <v>78.393297829967423</v>
      </c>
      <c r="R58" s="6">
        <v>7.4200577503198183E-3</v>
      </c>
      <c r="S58" s="7">
        <v>6.2991049696712487E-2</v>
      </c>
      <c r="T58" s="81" t="e">
        <v>#VALUE!</v>
      </c>
      <c r="U58" s="6">
        <v>1.5320990087875762E-2</v>
      </c>
      <c r="V58" s="6">
        <v>1.4973492269055657</v>
      </c>
      <c r="W58" s="6">
        <v>34.298423822182514</v>
      </c>
      <c r="X58" s="6">
        <v>0.27617936631127737</v>
      </c>
      <c r="Y58" s="6" t="e">
        <v>#VALUE!</v>
      </c>
      <c r="Z58" s="7">
        <v>1.436367529075536E-2</v>
      </c>
    </row>
    <row r="59" spans="2:26" x14ac:dyDescent="0.25">
      <c r="B59" s="627" t="s">
        <v>364</v>
      </c>
      <c r="C59" s="638" t="s">
        <v>92</v>
      </c>
      <c r="D59" s="240">
        <v>55</v>
      </c>
      <c r="E59" s="251" t="s">
        <v>313</v>
      </c>
      <c r="F59" s="503">
        <v>1.71</v>
      </c>
      <c r="G59" s="508">
        <v>15.536</v>
      </c>
      <c r="H59" s="132">
        <v>13</v>
      </c>
      <c r="I59" s="4">
        <f t="shared" si="0"/>
        <v>201.96799999999999</v>
      </c>
      <c r="J59" s="375">
        <f t="shared" si="1"/>
        <v>8.0458290422245113</v>
      </c>
      <c r="K59" s="8">
        <f t="shared" si="2"/>
        <v>16.954170957775489</v>
      </c>
      <c r="L59" s="9">
        <v>25</v>
      </c>
      <c r="M59" s="375">
        <v>0.11810389045806469</v>
      </c>
      <c r="N59" s="8">
        <v>2.5144319930841645E-2</v>
      </c>
      <c r="O59" s="8">
        <v>17.958460665527092</v>
      </c>
      <c r="P59" s="8">
        <v>5.8112082162701615E-3</v>
      </c>
      <c r="Q59" s="8">
        <v>3.5195387798957749</v>
      </c>
      <c r="R59" s="8">
        <v>4.7455400543878028E-2</v>
      </c>
      <c r="S59" s="9">
        <v>9.754716733516583E-2</v>
      </c>
      <c r="T59" s="375">
        <v>0.11699594508328567</v>
      </c>
      <c r="U59" s="8">
        <v>5.5599184158587056E-3</v>
      </c>
      <c r="V59" s="8">
        <v>1.3602479884660545</v>
      </c>
      <c r="W59" s="8">
        <v>78.735372399606462</v>
      </c>
      <c r="X59" s="8">
        <v>0.10983192186633296</v>
      </c>
      <c r="Y59" s="8">
        <v>3.0349983019448766E-2</v>
      </c>
      <c r="Z59" s="9">
        <v>9.8779319812254494E-3</v>
      </c>
    </row>
    <row r="60" spans="2:26" x14ac:dyDescent="0.25">
      <c r="B60" s="628"/>
      <c r="C60" s="696"/>
      <c r="D60" s="40">
        <v>53</v>
      </c>
      <c r="E60" s="79" t="s">
        <v>314</v>
      </c>
      <c r="F60" s="503">
        <v>1.5069999999999999</v>
      </c>
      <c r="G60" s="508">
        <v>9.4580000000000002</v>
      </c>
      <c r="H60" s="132">
        <v>13</v>
      </c>
      <c r="I60" s="4">
        <f t="shared" si="0"/>
        <v>122.95400000000001</v>
      </c>
      <c r="J60" s="80">
        <f t="shared" si="1"/>
        <v>13.216324804398393</v>
      </c>
      <c r="K60">
        <f t="shared" si="2"/>
        <v>11.783675195601607</v>
      </c>
      <c r="L60" s="4">
        <v>25</v>
      </c>
      <c r="M60" s="80">
        <v>6.2457658937117869E-2</v>
      </c>
      <c r="N60">
        <v>8.0321196216546469E-3</v>
      </c>
      <c r="O60">
        <v>7.1836657957100085</v>
      </c>
      <c r="P60">
        <v>7.2788745986643744E-3</v>
      </c>
      <c r="Q60">
        <v>3.5425625197158079</v>
      </c>
      <c r="R60">
        <v>3.4237740747111818E-3</v>
      </c>
      <c r="S60" s="4">
        <v>1.3506088649614926E-2</v>
      </c>
      <c r="T60" s="80">
        <v>5.2572570635379598E-4</v>
      </c>
      <c r="U60">
        <v>1.284982390956845E-4</v>
      </c>
      <c r="V60">
        <v>0.13817692826831898</v>
      </c>
      <c r="W60">
        <v>0.28603723639964473</v>
      </c>
      <c r="X60">
        <v>1.0036205998652703E-3</v>
      </c>
      <c r="Y60">
        <v>3.5613507156237856E-5</v>
      </c>
      <c r="Z60" s="4">
        <v>1.4897174376734168E-4</v>
      </c>
    </row>
    <row r="61" spans="2:26" x14ac:dyDescent="0.25">
      <c r="B61" s="628"/>
      <c r="C61" s="696"/>
      <c r="D61" s="40">
        <v>60</v>
      </c>
      <c r="E61" s="79" t="s">
        <v>315</v>
      </c>
      <c r="F61" s="502">
        <v>1.9319999999999999</v>
      </c>
      <c r="G61" s="507">
        <v>8.1769999999999996</v>
      </c>
      <c r="H61" s="132">
        <v>13</v>
      </c>
      <c r="I61" s="4">
        <f t="shared" si="0"/>
        <v>106.30099999999999</v>
      </c>
      <c r="J61" s="80">
        <f t="shared" si="1"/>
        <v>15.286779992662346</v>
      </c>
      <c r="K61">
        <f t="shared" si="2"/>
        <v>9.7132200073376538</v>
      </c>
      <c r="L61" s="4">
        <v>25</v>
      </c>
      <c r="M61" s="80"/>
      <c r="P61">
        <v>6.650006147637803E-3</v>
      </c>
      <c r="R61">
        <v>1.6049011709655329E-2</v>
      </c>
      <c r="S61" s="4">
        <v>3.2759493086373263E-2</v>
      </c>
      <c r="T61" s="80" t="e">
        <v>#VALUE!</v>
      </c>
      <c r="U61">
        <v>8.3732404535169567E-5</v>
      </c>
      <c r="V61">
        <v>0.10963229122139748</v>
      </c>
      <c r="W61">
        <v>0.39394387563406902</v>
      </c>
      <c r="X61">
        <v>1.0801913489012281E-3</v>
      </c>
      <c r="Y61" t="e">
        <v>#VALUE!</v>
      </c>
      <c r="Z61" s="4">
        <v>9.9746253850381555E-5</v>
      </c>
    </row>
    <row r="62" spans="2:26" x14ac:dyDescent="0.25">
      <c r="B62" s="628"/>
      <c r="C62" s="696"/>
      <c r="D62" s="40">
        <v>54</v>
      </c>
      <c r="E62" s="79" t="s">
        <v>316</v>
      </c>
      <c r="F62" s="503">
        <v>1.921</v>
      </c>
      <c r="G62" s="508">
        <v>13.093999999999999</v>
      </c>
      <c r="H62" s="132">
        <v>13</v>
      </c>
      <c r="I62" s="4">
        <f t="shared" si="0"/>
        <v>170.22199999999998</v>
      </c>
      <c r="J62" s="80">
        <f t="shared" si="1"/>
        <v>9.5463571101267757</v>
      </c>
      <c r="K62">
        <f t="shared" si="2"/>
        <v>15.453642889873224</v>
      </c>
      <c r="L62" s="4">
        <v>25</v>
      </c>
      <c r="M62" s="80">
        <v>7.2560130222977456E-2</v>
      </c>
      <c r="N62">
        <v>2.0874343286072933E-2</v>
      </c>
      <c r="O62">
        <v>7.5689726218250826</v>
      </c>
      <c r="P62">
        <v>4.8770563328566097E-3</v>
      </c>
      <c r="Q62">
        <v>2.3984958189448493</v>
      </c>
      <c r="R62">
        <v>3.764873673199335E-2</v>
      </c>
      <c r="S62" s="4">
        <v>0.13941217986595658</v>
      </c>
      <c r="T62" s="80">
        <v>5.5483017468878527E-5</v>
      </c>
      <c r="U62">
        <v>1.8946613258378537E-4</v>
      </c>
      <c r="V62">
        <v>1.7328762072131215E-2</v>
      </c>
      <c r="W62">
        <v>0.23729901445364812</v>
      </c>
      <c r="X62">
        <v>2.7499836817161862E-3</v>
      </c>
      <c r="Y62">
        <v>8.6301762860366998E-5</v>
      </c>
      <c r="Z62" s="4">
        <v>9.9309251501773123E-5</v>
      </c>
    </row>
    <row r="63" spans="2:26" x14ac:dyDescent="0.25">
      <c r="B63" s="628"/>
      <c r="C63" s="696"/>
      <c r="D63" s="40">
        <v>62</v>
      </c>
      <c r="E63" s="79" t="s">
        <v>317</v>
      </c>
      <c r="F63" s="502">
        <v>1.853</v>
      </c>
      <c r="G63" s="507">
        <v>8.4179999999999993</v>
      </c>
      <c r="H63" s="132">
        <v>13</v>
      </c>
      <c r="I63" s="4">
        <f t="shared" si="0"/>
        <v>109.434</v>
      </c>
      <c r="J63" s="80">
        <f t="shared" si="1"/>
        <v>14.84913281064386</v>
      </c>
      <c r="K63">
        <f t="shared" si="2"/>
        <v>10.15086718935614</v>
      </c>
      <c r="L63" s="4">
        <v>25</v>
      </c>
      <c r="M63" s="80">
        <v>7.8588451529255712E-2</v>
      </c>
      <c r="N63">
        <v>1.1067082363416619E-2</v>
      </c>
      <c r="O63">
        <v>8.3814854931185323</v>
      </c>
      <c r="P63">
        <v>5.3609619884892592E-3</v>
      </c>
      <c r="Q63">
        <v>2.5255584818226833</v>
      </c>
      <c r="R63">
        <v>2.8084132715720184E-3</v>
      </c>
      <c r="S63" s="4">
        <v>8.0994458669230857E-3</v>
      </c>
      <c r="T63" s="80">
        <v>5.2441514355288364E-6</v>
      </c>
      <c r="U63">
        <v>1.0208650763432059E-4</v>
      </c>
      <c r="V63">
        <v>0.18544116558953447</v>
      </c>
      <c r="W63">
        <v>0.25280958835743683</v>
      </c>
      <c r="X63">
        <v>9.8769475779961593E-4</v>
      </c>
      <c r="Y63">
        <v>2.7198755829754781E-5</v>
      </c>
      <c r="Z63" s="4">
        <v>8.7560500450716168E-5</v>
      </c>
    </row>
    <row r="64" spans="2:26" ht="15.75" thickBot="1" x14ac:dyDescent="0.3">
      <c r="B64" s="629"/>
      <c r="C64" s="639"/>
      <c r="D64" s="46">
        <v>61</v>
      </c>
      <c r="E64" s="82" t="s">
        <v>318</v>
      </c>
      <c r="F64" s="505">
        <v>1.869</v>
      </c>
      <c r="G64" s="510">
        <v>7.4450000000000003</v>
      </c>
      <c r="H64" s="203">
        <v>13</v>
      </c>
      <c r="I64" s="7">
        <f t="shared" si="0"/>
        <v>96.784999999999997</v>
      </c>
      <c r="J64" s="81">
        <f t="shared" si="1"/>
        <v>16.789791806581597</v>
      </c>
      <c r="K64" s="6">
        <f t="shared" si="2"/>
        <v>8.2102081934184028</v>
      </c>
      <c r="L64" s="7">
        <v>25</v>
      </c>
      <c r="M64" s="81">
        <v>6.2615780986943346</v>
      </c>
      <c r="N64" s="6">
        <v>0.12241823922665042</v>
      </c>
      <c r="O64" s="6">
        <v>174.30022943738396</v>
      </c>
      <c r="P64" s="6">
        <v>8.6589002096429425E-3</v>
      </c>
      <c r="Q64" s="6">
        <v>57.484101385954872</v>
      </c>
      <c r="R64" s="6">
        <v>6.1264935032486513E-3</v>
      </c>
      <c r="S64" s="7">
        <v>2.7409196927635861E-2</v>
      </c>
      <c r="T64" s="81" t="e">
        <v>#VALUE!</v>
      </c>
      <c r="U64" s="6">
        <v>2.0498377320644617E-3</v>
      </c>
      <c r="V64" s="6">
        <v>2.5818704988260377</v>
      </c>
      <c r="W64" s="6">
        <v>25.158561482065465</v>
      </c>
      <c r="X64" s="6">
        <v>7.88334387269429E-2</v>
      </c>
      <c r="Y64" s="6">
        <v>1.2743757455912039E-2</v>
      </c>
      <c r="Z64" s="7">
        <v>4.484937365760739E-3</v>
      </c>
    </row>
    <row r="65" spans="2:26" x14ac:dyDescent="0.25">
      <c r="B65" s="627" t="s">
        <v>376</v>
      </c>
      <c r="C65" s="638" t="s">
        <v>149</v>
      </c>
      <c r="D65" s="240">
        <v>63</v>
      </c>
      <c r="E65" s="453" t="s">
        <v>377</v>
      </c>
      <c r="F65" s="452">
        <v>1.879</v>
      </c>
      <c r="G65" s="202">
        <v>18.863</v>
      </c>
      <c r="H65" s="202">
        <v>13</v>
      </c>
      <c r="I65" s="9">
        <f t="shared" si="0"/>
        <v>245.21899999999999</v>
      </c>
      <c r="J65" s="375">
        <f t="shared" si="1"/>
        <v>6.6267295764194456</v>
      </c>
      <c r="K65" s="8">
        <f t="shared" si="2"/>
        <v>18.373270423580554</v>
      </c>
      <c r="L65" s="9">
        <v>25</v>
      </c>
      <c r="M65" s="375">
        <v>9.1019055327397402E-2</v>
      </c>
      <c r="N65" s="8">
        <v>1.0556752730569767E-2</v>
      </c>
      <c r="O65" s="8">
        <v>4.1791616671327958</v>
      </c>
      <c r="P65" s="8">
        <v>4.6168820028194525E-4</v>
      </c>
      <c r="Q65" s="8">
        <v>0.35999768621770922</v>
      </c>
      <c r="R65" s="8">
        <v>7.7030042370500542</v>
      </c>
      <c r="S65" s="9">
        <v>7.6829070411995337</v>
      </c>
      <c r="T65" s="80">
        <v>7.0495071674907093E-5</v>
      </c>
      <c r="U65">
        <v>2.5719987138110084E-3</v>
      </c>
      <c r="V65">
        <v>0.56818437432929403</v>
      </c>
      <c r="W65">
        <v>45.688143125843695</v>
      </c>
      <c r="X65">
        <v>2.2844469630204749E-2</v>
      </c>
      <c r="Y65">
        <v>1.0865090372968997E-2</v>
      </c>
      <c r="Z65" s="4">
        <v>6.4786016342185913E-3</v>
      </c>
    </row>
    <row r="66" spans="2:26" x14ac:dyDescent="0.25">
      <c r="B66" s="628"/>
      <c r="C66" s="696"/>
      <c r="D66" s="40">
        <v>64</v>
      </c>
      <c r="E66" s="93" t="s">
        <v>317</v>
      </c>
      <c r="F66" s="261">
        <v>1.841</v>
      </c>
      <c r="G66" s="132">
        <v>13.401</v>
      </c>
      <c r="H66" s="132">
        <v>13</v>
      </c>
      <c r="I66" s="4">
        <f t="shared" si="0"/>
        <v>174.21299999999999</v>
      </c>
      <c r="J66" s="80">
        <f t="shared" si="1"/>
        <v>9.3276621147675556</v>
      </c>
      <c r="K66">
        <f t="shared" si="2"/>
        <v>15.672337885232444</v>
      </c>
      <c r="L66" s="4">
        <v>25</v>
      </c>
      <c r="M66" s="80">
        <v>5.2750365964899251E-2</v>
      </c>
      <c r="N66">
        <v>3.1803728418086244E-3</v>
      </c>
      <c r="O66">
        <v>1.8728085909523755</v>
      </c>
      <c r="P66">
        <v>5.4658289150097221E-4</v>
      </c>
      <c r="Q66">
        <v>0.68735334196663145</v>
      </c>
      <c r="R66">
        <v>3.0129452676682051</v>
      </c>
      <c r="S66" s="4">
        <v>0.68789487268559657</v>
      </c>
      <c r="T66" s="80">
        <v>2.0908107346300201E-5</v>
      </c>
      <c r="U66">
        <v>2.0556048167351472E-4</v>
      </c>
      <c r="V66">
        <v>9.2168543571094306E-3</v>
      </c>
      <c r="W66">
        <v>0.28468767892796243</v>
      </c>
      <c r="X66">
        <v>1.3519431243114604E-3</v>
      </c>
      <c r="Y66">
        <v>1.8287027626919046E-4</v>
      </c>
      <c r="Z66" s="4">
        <v>1.8840243109008076E-4</v>
      </c>
    </row>
    <row r="67" spans="2:26" x14ac:dyDescent="0.25">
      <c r="B67" s="628"/>
      <c r="C67" s="696"/>
      <c r="D67" s="40">
        <v>65</v>
      </c>
      <c r="E67" s="93" t="s">
        <v>318</v>
      </c>
      <c r="F67" s="261">
        <v>2.0630000000000002</v>
      </c>
      <c r="G67" s="132">
        <v>15.374000000000001</v>
      </c>
      <c r="H67" s="132">
        <v>13</v>
      </c>
      <c r="I67" s="4">
        <f t="shared" si="0"/>
        <v>199.86199999999999</v>
      </c>
      <c r="J67" s="80">
        <f t="shared" si="1"/>
        <v>8.1306101209834782</v>
      </c>
      <c r="K67">
        <f t="shared" si="2"/>
        <v>16.869389879016524</v>
      </c>
      <c r="L67" s="4">
        <v>25</v>
      </c>
      <c r="M67" s="80">
        <v>8.1296196662078407E-2</v>
      </c>
      <c r="N67">
        <v>4.212994504765687E-3</v>
      </c>
      <c r="O67">
        <v>4.6849750304065267</v>
      </c>
      <c r="P67">
        <v>5.2717152544109645E-4</v>
      </c>
      <c r="Q67">
        <v>0.41483719734481361</v>
      </c>
      <c r="R67">
        <v>5.1930148508099823</v>
      </c>
      <c r="S67" s="4">
        <v>1.1678894810819265</v>
      </c>
      <c r="T67" s="80">
        <v>1.7032453243918531E-2</v>
      </c>
      <c r="U67">
        <v>1.8146567670943E-3</v>
      </c>
      <c r="V67">
        <v>0.68525866971818106</v>
      </c>
      <c r="W67">
        <v>44.442967316443692</v>
      </c>
      <c r="X67">
        <v>1.0259333995487141E-2</v>
      </c>
      <c r="Y67">
        <v>1.6157411664031046E-3</v>
      </c>
      <c r="Z67" s="4">
        <v>7.8041175763692546E-3</v>
      </c>
    </row>
    <row r="68" spans="2:26" x14ac:dyDescent="0.25">
      <c r="B68" s="628"/>
      <c r="C68" s="696"/>
      <c r="D68" s="40">
        <v>66</v>
      </c>
      <c r="E68" s="93" t="s">
        <v>315</v>
      </c>
      <c r="F68" s="261">
        <v>1.772</v>
      </c>
      <c r="G68" s="132">
        <v>28.154</v>
      </c>
      <c r="H68" s="132">
        <v>13</v>
      </c>
      <c r="I68" s="4">
        <f t="shared" si="0"/>
        <v>366.00200000000001</v>
      </c>
      <c r="J68" s="80">
        <f>125/G68</f>
        <v>4.4398664488172193</v>
      </c>
      <c r="K68">
        <f>L68-J68</f>
        <v>20.56013355118278</v>
      </c>
      <c r="L68" s="4">
        <v>25</v>
      </c>
      <c r="M68" s="80">
        <v>9.0227830378267523E-2</v>
      </c>
      <c r="N68">
        <v>9.0107704548114242E-3</v>
      </c>
      <c r="O68">
        <v>4.5687991764181604</v>
      </c>
      <c r="P68">
        <v>5.1216118807815235E-4</v>
      </c>
      <c r="Q68">
        <v>0.58581003773040607</v>
      </c>
      <c r="R68">
        <v>2.5111274115040239</v>
      </c>
      <c r="S68" s="4">
        <v>3.4876103480374643</v>
      </c>
      <c r="T68" s="80">
        <v>2.035298855003163E-2</v>
      </c>
      <c r="U68">
        <v>1.1177635177829835E-3</v>
      </c>
      <c r="V68">
        <v>0.70693251126761059</v>
      </c>
      <c r="W68">
        <v>70.108554690778988</v>
      </c>
      <c r="X68">
        <v>1.9108348694442241E-2</v>
      </c>
      <c r="Y68">
        <v>2.8237768086587884E-3</v>
      </c>
      <c r="Z68" s="4">
        <v>4.6156680519385818E-3</v>
      </c>
    </row>
    <row r="69" spans="2:26" x14ac:dyDescent="0.25">
      <c r="B69" s="628"/>
      <c r="C69" s="696"/>
      <c r="D69" s="40">
        <v>67</v>
      </c>
      <c r="E69" s="93" t="s">
        <v>374</v>
      </c>
      <c r="F69" s="261">
        <v>2.2109999999999999</v>
      </c>
      <c r="G69" s="132">
        <v>7.3490000000000002</v>
      </c>
      <c r="H69" s="132">
        <v>13</v>
      </c>
      <c r="I69" s="4">
        <f t="shared" si="0"/>
        <v>95.537000000000006</v>
      </c>
      <c r="J69" s="80">
        <f>125/G69</f>
        <v>17.009116886651245</v>
      </c>
      <c r="K69">
        <f>L69-J69</f>
        <v>7.9908831133487546</v>
      </c>
      <c r="L69" s="4">
        <v>25</v>
      </c>
      <c r="M69" s="80">
        <v>1.2051873011571343</v>
      </c>
      <c r="N69">
        <v>3.6329819871177262E-2</v>
      </c>
      <c r="O69">
        <v>39.930147097261361</v>
      </c>
      <c r="P69">
        <v>7.9268192168762785E-4</v>
      </c>
      <c r="Q69">
        <v>4.6374356711018088</v>
      </c>
      <c r="R69">
        <v>0.58109257177867324</v>
      </c>
      <c r="S69" s="4">
        <v>0.24861133309632308</v>
      </c>
      <c r="T69" s="80">
        <v>7.2449026333651747E-4</v>
      </c>
      <c r="U69">
        <v>5.5854423507593334E-3</v>
      </c>
      <c r="V69">
        <v>1.2273864861139929</v>
      </c>
      <c r="W69">
        <v>15.605634768550198</v>
      </c>
      <c r="X69">
        <v>5.6235007521345567E-2</v>
      </c>
      <c r="Y69">
        <v>3.7064574468474673E-3</v>
      </c>
      <c r="Z69" s="4">
        <v>6.9053492551338982E-3</v>
      </c>
    </row>
    <row r="70" spans="2:26" ht="15.75" thickBot="1" x14ac:dyDescent="0.3">
      <c r="B70" s="629"/>
      <c r="C70" s="639"/>
      <c r="D70" s="46">
        <v>68</v>
      </c>
      <c r="E70" s="94" t="s">
        <v>378</v>
      </c>
      <c r="F70" s="262">
        <v>1.9490000000000001</v>
      </c>
      <c r="G70" s="203">
        <v>20.331</v>
      </c>
      <c r="H70" s="203">
        <v>13</v>
      </c>
      <c r="I70" s="7">
        <f t="shared" si="0"/>
        <v>264.303</v>
      </c>
      <c r="J70" s="81">
        <f>125/G70</f>
        <v>6.1482465200924699</v>
      </c>
      <c r="K70" s="6">
        <f>L70-J70</f>
        <v>18.851753479907529</v>
      </c>
      <c r="L70" s="7">
        <v>25</v>
      </c>
      <c r="M70" s="81">
        <v>0.13846519369275792</v>
      </c>
      <c r="N70" s="6">
        <v>9.1200436618654717E-3</v>
      </c>
      <c r="O70" s="6">
        <v>5.3307771187820325</v>
      </c>
      <c r="P70" s="6">
        <v>7.3303473629548143E-4</v>
      </c>
      <c r="Q70" s="6">
        <v>1.152077973577744</v>
      </c>
      <c r="R70" s="6">
        <v>7.581499376671065</v>
      </c>
      <c r="S70" s="7">
        <v>8.7000117136096335</v>
      </c>
      <c r="T70" s="81">
        <v>24654.508427383898</v>
      </c>
      <c r="U70" s="6">
        <v>2.2251500983331727E-3</v>
      </c>
      <c r="V70" s="6">
        <v>0.62538055654603064</v>
      </c>
      <c r="W70" s="6">
        <v>56.228061800752748</v>
      </c>
      <c r="X70" s="6">
        <v>1.7342163776458534E-2</v>
      </c>
      <c r="Y70" s="6">
        <v>5.4690564215502383E-5</v>
      </c>
      <c r="Z70" s="7">
        <v>4.4533455580910188E-3</v>
      </c>
    </row>
    <row r="103" spans="21:22" x14ac:dyDescent="0.25">
      <c r="U103" t="s">
        <v>360</v>
      </c>
      <c r="V103" t="s">
        <v>360</v>
      </c>
    </row>
    <row r="104" spans="21:22" x14ac:dyDescent="0.25">
      <c r="U104" t="s">
        <v>360</v>
      </c>
      <c r="V104" t="s">
        <v>360</v>
      </c>
    </row>
    <row r="105" spans="21:22" x14ac:dyDescent="0.25">
      <c r="U105" t="s">
        <v>360</v>
      </c>
      <c r="V105" t="s">
        <v>360</v>
      </c>
    </row>
    <row r="106" spans="21:22" x14ac:dyDescent="0.25">
      <c r="U106" t="s">
        <v>360</v>
      </c>
      <c r="V106" t="s">
        <v>360</v>
      </c>
    </row>
    <row r="138" spans="23:23" x14ac:dyDescent="0.25">
      <c r="W138" t="s">
        <v>360</v>
      </c>
    </row>
    <row r="139" spans="23:23" x14ac:dyDescent="0.25">
      <c r="W139" t="s">
        <v>360</v>
      </c>
    </row>
    <row r="140" spans="23:23" x14ac:dyDescent="0.25">
      <c r="W140" t="s">
        <v>360</v>
      </c>
    </row>
    <row r="141" spans="23:23" x14ac:dyDescent="0.25">
      <c r="W141" t="s">
        <v>360</v>
      </c>
    </row>
  </sheetData>
  <mergeCells count="37">
    <mergeCell ref="T1:Z1"/>
    <mergeCell ref="J1:J2"/>
    <mergeCell ref="K1:K2"/>
    <mergeCell ref="L1:L2"/>
    <mergeCell ref="F1:F2"/>
    <mergeCell ref="G1:G2"/>
    <mergeCell ref="I1:I2"/>
    <mergeCell ref="M1:S1"/>
    <mergeCell ref="B21:B26"/>
    <mergeCell ref="D1:D2"/>
    <mergeCell ref="B9:B14"/>
    <mergeCell ref="B3:B8"/>
    <mergeCell ref="C3:C8"/>
    <mergeCell ref="B1:B2"/>
    <mergeCell ref="C1:C2"/>
    <mergeCell ref="B46:B51"/>
    <mergeCell ref="B40:B45"/>
    <mergeCell ref="B34:B39"/>
    <mergeCell ref="B29:B33"/>
    <mergeCell ref="H1:H2"/>
    <mergeCell ref="C46:C51"/>
    <mergeCell ref="C40:C45"/>
    <mergeCell ref="C34:C39"/>
    <mergeCell ref="C29:C33"/>
    <mergeCell ref="C21:C26"/>
    <mergeCell ref="E1:E2"/>
    <mergeCell ref="C15:C20"/>
    <mergeCell ref="C9:C14"/>
    <mergeCell ref="B27:B28"/>
    <mergeCell ref="C27:C28"/>
    <mergeCell ref="B15:B20"/>
    <mergeCell ref="B52:B58"/>
    <mergeCell ref="C52:C58"/>
    <mergeCell ref="B59:B64"/>
    <mergeCell ref="C59:C64"/>
    <mergeCell ref="C65:C70"/>
    <mergeCell ref="B65:B70"/>
  </mergeCells>
  <phoneticPr fontId="11" type="noConversion"/>
  <conditionalFormatting sqref="F3:F51">
    <cfRule type="cellIs" dxfId="7" priority="4" operator="lessThan">
      <formula>1.49</formula>
    </cfRule>
    <cfRule type="cellIs" dxfId="6" priority="5" operator="lessThan">
      <formula>1.79</formula>
    </cfRule>
  </conditionalFormatting>
  <conditionalFormatting sqref="I3:I51">
    <cfRule type="cellIs" dxfId="5" priority="6" operator="lessThan">
      <formula>85</formula>
    </cfRule>
    <cfRule type="cellIs" dxfId="4" priority="7" operator="lessThan">
      <formula>100</formula>
    </cfRule>
  </conditionalFormatting>
  <conditionalFormatting sqref="I52:I70">
    <cfRule type="cellIs" dxfId="3" priority="1" operator="lessThan">
      <formula>100</formula>
    </cfRule>
    <cfRule type="cellIs" dxfId="2" priority="2" operator="lessThan">
      <formula>125</formula>
    </cfRule>
  </conditionalFormatting>
  <hyperlinks>
    <hyperlink ref="A1" location="'Table of Contents'!A1" display="Table of Contents" xr:uid="{187EAB7B-494D-4DA3-9011-F9036DD4DF1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1180-53DD-417F-AE48-0C2CCE77487E}">
  <dimension ref="A1:CM98"/>
  <sheetViews>
    <sheetView topLeftCell="A45" zoomScale="115" zoomScaleNormal="115" workbookViewId="0">
      <selection activeCell="J17" sqref="J17"/>
    </sheetView>
  </sheetViews>
  <sheetFormatPr defaultRowHeight="15" x14ac:dyDescent="0.25"/>
  <cols>
    <col min="1" max="1" width="16.7109375" customWidth="1"/>
    <col min="2" max="2" width="14" customWidth="1"/>
    <col min="4" max="4" width="13.5703125" customWidth="1"/>
    <col min="5" max="5" width="11" bestFit="1" customWidth="1"/>
    <col min="8" max="8" width="13.140625" customWidth="1"/>
    <col min="10" max="10" width="13.42578125" customWidth="1"/>
    <col min="14" max="14" width="13.5703125" customWidth="1"/>
    <col min="16" max="16" width="13.5703125" customWidth="1"/>
    <col min="20" max="20" width="13.7109375" customWidth="1"/>
    <col min="21" max="21" width="6.7109375" customWidth="1"/>
    <col min="22" max="22" width="13.42578125" customWidth="1"/>
    <col min="26" max="26" width="13.42578125" customWidth="1"/>
    <col min="27" max="27" width="6.7109375" customWidth="1"/>
    <col min="28" max="28" width="14.140625" customWidth="1"/>
    <col min="32" max="32" width="12.85546875" customWidth="1"/>
    <col min="33" max="33" width="6.7109375" customWidth="1"/>
    <col min="35" max="35" width="11.140625" customWidth="1"/>
    <col min="38" max="38" width="13" customWidth="1"/>
    <col min="39" max="39" width="8.140625" customWidth="1"/>
    <col min="40" max="40" width="14" customWidth="1"/>
    <col min="41" max="41" width="10.7109375" customWidth="1"/>
    <col min="44" max="44" width="13.42578125" customWidth="1"/>
    <col min="45" max="45" width="8" customWidth="1"/>
    <col min="47" max="47" width="13.7109375" customWidth="1"/>
    <col min="50" max="50" width="12.85546875" customWidth="1"/>
    <col min="51" max="51" width="8.42578125" customWidth="1"/>
    <col min="52" max="52" width="14.140625" customWidth="1"/>
    <col min="53" max="53" width="11" customWidth="1"/>
    <col min="54" max="54" width="10" customWidth="1"/>
    <col min="56" max="56" width="12.5703125" customWidth="1"/>
    <col min="62" max="62" width="12.7109375" customWidth="1"/>
    <col min="68" max="68" width="13" customWidth="1"/>
    <col min="73" max="73" width="10.140625" customWidth="1"/>
    <col min="74" max="74" width="12.7109375" customWidth="1"/>
    <col min="79" max="79" width="11.7109375" customWidth="1"/>
    <col min="80" max="80" width="12.5703125" customWidth="1"/>
    <col min="85" max="85" width="12" bestFit="1" customWidth="1"/>
    <col min="86" max="86" width="13" customWidth="1"/>
    <col min="91" max="91" width="13.140625" bestFit="1" customWidth="1"/>
  </cols>
  <sheetData>
    <row r="1" spans="1:91" ht="15.75" thickBot="1" x14ac:dyDescent="0.3">
      <c r="A1" s="38" t="s">
        <v>9</v>
      </c>
      <c r="B1" s="704" t="s">
        <v>347</v>
      </c>
      <c r="C1" s="705"/>
      <c r="D1" s="705"/>
      <c r="E1" s="705"/>
      <c r="F1" s="705"/>
      <c r="G1" s="706"/>
      <c r="H1" s="686" t="s">
        <v>348</v>
      </c>
      <c r="I1" s="687"/>
      <c r="J1" s="687"/>
      <c r="K1" s="687"/>
      <c r="L1" s="687"/>
      <c r="M1" s="688"/>
      <c r="N1" s="686" t="s">
        <v>355</v>
      </c>
      <c r="O1" s="687"/>
      <c r="P1" s="687"/>
      <c r="Q1" s="687"/>
      <c r="R1" s="687"/>
      <c r="S1" s="688"/>
      <c r="T1" s="686" t="s">
        <v>357</v>
      </c>
      <c r="U1" s="687"/>
      <c r="V1" s="687"/>
      <c r="W1" s="687"/>
      <c r="X1" s="687"/>
      <c r="Y1" s="688"/>
      <c r="Z1" s="686" t="s">
        <v>391</v>
      </c>
      <c r="AA1" s="687"/>
      <c r="AB1" s="687"/>
      <c r="AC1" s="687"/>
      <c r="AD1" s="687"/>
      <c r="AE1" s="688"/>
      <c r="AF1" s="686" t="s">
        <v>397</v>
      </c>
      <c r="AG1" s="687"/>
      <c r="AH1" s="687"/>
      <c r="AI1" s="687"/>
      <c r="AJ1" s="687"/>
      <c r="AK1" s="688"/>
      <c r="AL1" s="686" t="s">
        <v>398</v>
      </c>
      <c r="AM1" s="687"/>
      <c r="AN1" s="687"/>
      <c r="AO1" s="687"/>
      <c r="AP1" s="687"/>
      <c r="AQ1" s="688"/>
      <c r="AR1" s="686" t="s">
        <v>404</v>
      </c>
      <c r="AS1" s="687"/>
      <c r="AT1" s="687"/>
      <c r="AU1" s="687"/>
      <c r="AV1" s="687"/>
      <c r="AW1" s="688"/>
      <c r="AX1" s="686" t="s">
        <v>428</v>
      </c>
      <c r="AY1" s="687"/>
      <c r="AZ1" s="687"/>
      <c r="BA1" s="687"/>
      <c r="BB1" s="687"/>
      <c r="BC1" s="688"/>
      <c r="BD1" s="686" t="s">
        <v>437</v>
      </c>
      <c r="BE1" s="687"/>
      <c r="BF1" s="687"/>
      <c r="BG1" s="687"/>
      <c r="BH1" s="687"/>
      <c r="BI1" s="688"/>
      <c r="BJ1" s="686" t="s">
        <v>438</v>
      </c>
      <c r="BK1" s="687"/>
      <c r="BL1" s="687"/>
      <c r="BM1" s="687"/>
      <c r="BN1" s="687"/>
      <c r="BO1" s="688"/>
      <c r="BP1" s="686" t="s">
        <v>445</v>
      </c>
      <c r="BQ1" s="687"/>
      <c r="BR1" s="687"/>
      <c r="BS1" s="687"/>
      <c r="BT1" s="687"/>
      <c r="BU1" s="688"/>
      <c r="BV1" s="686" t="s">
        <v>446</v>
      </c>
      <c r="BW1" s="687"/>
      <c r="BX1" s="687"/>
      <c r="BY1" s="687"/>
      <c r="BZ1" s="687"/>
      <c r="CA1" s="688"/>
      <c r="CB1" s="686" t="s">
        <v>447</v>
      </c>
      <c r="CC1" s="687"/>
      <c r="CD1" s="687"/>
      <c r="CE1" s="687"/>
      <c r="CF1" s="687"/>
      <c r="CG1" s="688"/>
      <c r="CH1" s="686" t="s">
        <v>448</v>
      </c>
      <c r="CI1" s="687"/>
      <c r="CJ1" s="687"/>
      <c r="CK1" s="687"/>
      <c r="CL1" s="687"/>
      <c r="CM1" s="688"/>
    </row>
    <row r="2" spans="1:91" ht="15.75" thickBot="1" x14ac:dyDescent="0.3">
      <c r="B2" s="481" t="s">
        <v>342</v>
      </c>
      <c r="C2" s="482" t="s">
        <v>343</v>
      </c>
      <c r="D2" s="482" t="s">
        <v>344</v>
      </c>
      <c r="E2" s="482" t="s">
        <v>345</v>
      </c>
      <c r="F2" s="449" t="s">
        <v>346</v>
      </c>
      <c r="G2" s="483" t="s">
        <v>200</v>
      </c>
      <c r="H2" s="452" t="s">
        <v>342</v>
      </c>
      <c r="I2" s="202" t="s">
        <v>343</v>
      </c>
      <c r="J2" s="202" t="s">
        <v>344</v>
      </c>
      <c r="K2" s="202" t="s">
        <v>345</v>
      </c>
      <c r="L2" s="522" t="s">
        <v>346</v>
      </c>
      <c r="M2" s="9" t="s">
        <v>200</v>
      </c>
      <c r="N2" s="452" t="s">
        <v>342</v>
      </c>
      <c r="O2" s="202" t="s">
        <v>343</v>
      </c>
      <c r="P2" s="202" t="s">
        <v>344</v>
      </c>
      <c r="Q2" s="202" t="s">
        <v>345</v>
      </c>
      <c r="R2" s="522" t="s">
        <v>346</v>
      </c>
      <c r="S2" s="9" t="s">
        <v>200</v>
      </c>
      <c r="T2" s="452" t="s">
        <v>342</v>
      </c>
      <c r="U2" s="202" t="s">
        <v>343</v>
      </c>
      <c r="V2" s="202" t="s">
        <v>344</v>
      </c>
      <c r="W2" s="202" t="s">
        <v>345</v>
      </c>
      <c r="X2" s="522" t="s">
        <v>346</v>
      </c>
      <c r="Y2" s="9" t="s">
        <v>200</v>
      </c>
      <c r="Z2" s="452" t="s">
        <v>342</v>
      </c>
      <c r="AA2" s="202" t="s">
        <v>343</v>
      </c>
      <c r="AB2" s="202" t="s">
        <v>344</v>
      </c>
      <c r="AC2" s="202" t="s">
        <v>345</v>
      </c>
      <c r="AD2" s="514" t="s">
        <v>346</v>
      </c>
      <c r="AE2" s="9" t="s">
        <v>200</v>
      </c>
      <c r="AF2" s="452" t="s">
        <v>342</v>
      </c>
      <c r="AG2" s="202" t="s">
        <v>343</v>
      </c>
      <c r="AH2" s="202" t="s">
        <v>344</v>
      </c>
      <c r="AI2" s="202" t="s">
        <v>345</v>
      </c>
      <c r="AJ2" s="514" t="s">
        <v>346</v>
      </c>
      <c r="AK2" s="9" t="s">
        <v>200</v>
      </c>
      <c r="AL2" s="452" t="s">
        <v>342</v>
      </c>
      <c r="AM2" s="202" t="s">
        <v>343</v>
      </c>
      <c r="AN2" s="202" t="s">
        <v>344</v>
      </c>
      <c r="AO2" s="202" t="s">
        <v>345</v>
      </c>
      <c r="AP2" s="514" t="s">
        <v>346</v>
      </c>
      <c r="AQ2" s="9" t="s">
        <v>200</v>
      </c>
      <c r="AR2" s="452" t="s">
        <v>342</v>
      </c>
      <c r="AS2" s="202" t="s">
        <v>343</v>
      </c>
      <c r="AT2" s="202" t="s">
        <v>344</v>
      </c>
      <c r="AU2" s="202" t="s">
        <v>345</v>
      </c>
      <c r="AV2" s="514" t="s">
        <v>346</v>
      </c>
      <c r="AW2" s="9" t="s">
        <v>200</v>
      </c>
      <c r="AX2" s="452" t="s">
        <v>342</v>
      </c>
      <c r="AY2" s="202" t="s">
        <v>343</v>
      </c>
      <c r="AZ2" s="202" t="s">
        <v>344</v>
      </c>
      <c r="BA2" s="202" t="s">
        <v>345</v>
      </c>
      <c r="BB2" s="514" t="s">
        <v>346</v>
      </c>
      <c r="BC2" s="9" t="s">
        <v>200</v>
      </c>
      <c r="BD2" s="452" t="s">
        <v>342</v>
      </c>
      <c r="BE2" s="202" t="s">
        <v>343</v>
      </c>
      <c r="BF2" s="202" t="s">
        <v>344</v>
      </c>
      <c r="BG2" s="202" t="s">
        <v>345</v>
      </c>
      <c r="BH2" s="514" t="s">
        <v>346</v>
      </c>
      <c r="BI2" s="9" t="s">
        <v>200</v>
      </c>
      <c r="BJ2" s="452" t="s">
        <v>342</v>
      </c>
      <c r="BK2" s="202" t="s">
        <v>343</v>
      </c>
      <c r="BL2" s="202" t="s">
        <v>344</v>
      </c>
      <c r="BM2" s="202" t="s">
        <v>345</v>
      </c>
      <c r="BN2" s="514" t="s">
        <v>346</v>
      </c>
      <c r="BO2" s="9" t="s">
        <v>200</v>
      </c>
      <c r="BP2" s="452" t="s">
        <v>342</v>
      </c>
      <c r="BQ2" s="202" t="s">
        <v>343</v>
      </c>
      <c r="BR2" s="202" t="s">
        <v>344</v>
      </c>
      <c r="BS2" s="202" t="s">
        <v>345</v>
      </c>
      <c r="BT2" s="514" t="s">
        <v>346</v>
      </c>
      <c r="BU2" s="9" t="s">
        <v>200</v>
      </c>
      <c r="BV2" s="452" t="s">
        <v>342</v>
      </c>
      <c r="BW2" s="202" t="s">
        <v>343</v>
      </c>
      <c r="BX2" s="202" t="s">
        <v>344</v>
      </c>
      <c r="BY2" s="202" t="s">
        <v>345</v>
      </c>
      <c r="BZ2" s="514" t="s">
        <v>346</v>
      </c>
      <c r="CA2" s="9" t="s">
        <v>200</v>
      </c>
      <c r="CB2" s="452" t="s">
        <v>342</v>
      </c>
      <c r="CC2" s="202" t="s">
        <v>343</v>
      </c>
      <c r="CD2" s="202" t="s">
        <v>344</v>
      </c>
      <c r="CE2" s="202" t="s">
        <v>345</v>
      </c>
      <c r="CF2" s="514" t="s">
        <v>346</v>
      </c>
      <c r="CG2" s="9" t="s">
        <v>200</v>
      </c>
      <c r="CH2" s="452" t="s">
        <v>342</v>
      </c>
      <c r="CI2" s="202" t="s">
        <v>343</v>
      </c>
      <c r="CJ2" s="202" t="s">
        <v>344</v>
      </c>
      <c r="CK2" s="202" t="s">
        <v>345</v>
      </c>
      <c r="CL2" s="514" t="s">
        <v>346</v>
      </c>
      <c r="CM2" s="9" t="s">
        <v>200</v>
      </c>
    </row>
    <row r="3" spans="1:91" x14ac:dyDescent="0.25">
      <c r="B3" s="478" t="s">
        <v>331</v>
      </c>
      <c r="C3" s="202" t="s">
        <v>332</v>
      </c>
      <c r="D3" s="202" t="s">
        <v>333</v>
      </c>
      <c r="E3" s="443" t="e">
        <f>2^(-D3)</f>
        <v>#VALUE!</v>
      </c>
      <c r="F3" s="279"/>
      <c r="G3" s="487"/>
      <c r="H3" s="478" t="s">
        <v>331</v>
      </c>
      <c r="I3" s="202" t="s">
        <v>332</v>
      </c>
      <c r="J3" s="202">
        <v>33.158271789550781</v>
      </c>
      <c r="K3" s="443">
        <f>2^(-J3)</f>
        <v>1.04319521650365E-10</v>
      </c>
      <c r="L3" s="279"/>
      <c r="M3" s="487"/>
      <c r="N3" s="489" t="s">
        <v>331</v>
      </c>
      <c r="O3" s="251" t="s">
        <v>332</v>
      </c>
      <c r="P3" s="251" t="s">
        <v>333</v>
      </c>
      <c r="Q3" s="251" t="e">
        <f>2^(-P3)</f>
        <v>#VALUE!</v>
      </c>
      <c r="R3" s="492"/>
      <c r="S3" s="487"/>
      <c r="T3" s="375" t="s">
        <v>331</v>
      </c>
      <c r="U3" s="251" t="s">
        <v>332</v>
      </c>
      <c r="V3" s="251">
        <v>37.048542022705078</v>
      </c>
      <c r="W3" s="251">
        <f>2^(-V3)</f>
        <v>7.0352179368946589E-12</v>
      </c>
      <c r="X3" s="492"/>
      <c r="Y3" s="487"/>
      <c r="Z3" s="452" t="s">
        <v>331</v>
      </c>
      <c r="AA3" s="202" t="s">
        <v>332</v>
      </c>
      <c r="AB3" s="202" t="s">
        <v>333</v>
      </c>
      <c r="AC3" s="443" t="e">
        <f>2^(-AB3)</f>
        <v>#VALUE!</v>
      </c>
      <c r="AD3" s="515"/>
      <c r="AE3" s="400"/>
      <c r="AF3" s="452" t="s">
        <v>331</v>
      </c>
      <c r="AG3" s="202" t="s">
        <v>332</v>
      </c>
      <c r="AH3" s="443">
        <v>35.777515411376953</v>
      </c>
      <c r="AI3" s="443">
        <f>2^(-AH3)</f>
        <v>1.6978319066763338E-11</v>
      </c>
      <c r="AJ3" s="515"/>
      <c r="AK3" s="400"/>
      <c r="AL3" s="452" t="s">
        <v>331</v>
      </c>
      <c r="AM3" s="202" t="s">
        <v>332</v>
      </c>
      <c r="AN3" s="443">
        <v>6.0213894844055176</v>
      </c>
      <c r="AO3" s="443">
        <f>2^(-AN3)</f>
        <v>1.5395051626244341E-2</v>
      </c>
      <c r="AP3" s="515"/>
      <c r="AQ3" s="400"/>
      <c r="AR3" s="452" t="s">
        <v>331</v>
      </c>
      <c r="AS3" s="202" t="s">
        <v>332</v>
      </c>
      <c r="AT3" s="443" t="s">
        <v>333</v>
      </c>
      <c r="AU3" s="202" t="e">
        <f>2^(-AT3)</f>
        <v>#VALUE!</v>
      </c>
      <c r="AV3" s="492"/>
      <c r="AW3" s="487"/>
      <c r="AX3" s="452" t="s">
        <v>331</v>
      </c>
      <c r="AY3" s="202" t="s">
        <v>332</v>
      </c>
      <c r="AZ3" s="443" t="s">
        <v>333</v>
      </c>
      <c r="BA3" s="443" t="e">
        <f>2^(-AZ3)</f>
        <v>#VALUE!</v>
      </c>
      <c r="BB3" s="515"/>
      <c r="BC3" s="400"/>
      <c r="BD3" s="452" t="s">
        <v>331</v>
      </c>
      <c r="BE3" s="202" t="s">
        <v>332</v>
      </c>
      <c r="BF3" s="443" t="s">
        <v>333</v>
      </c>
      <c r="BG3" s="443" t="e">
        <f>2^(-BF3)</f>
        <v>#VALUE!</v>
      </c>
      <c r="BH3" s="515"/>
      <c r="BI3" s="400"/>
      <c r="BJ3" s="452" t="s">
        <v>331</v>
      </c>
      <c r="BK3" s="202" t="s">
        <v>332</v>
      </c>
      <c r="BL3" s="443" t="s">
        <v>333</v>
      </c>
      <c r="BM3" s="443" t="e">
        <f>2^(-BL3)</f>
        <v>#VALUE!</v>
      </c>
      <c r="BN3" s="515"/>
      <c r="BO3" s="400"/>
      <c r="BP3" s="452" t="s">
        <v>331</v>
      </c>
      <c r="BQ3" s="202" t="s">
        <v>332</v>
      </c>
      <c r="BR3" s="443">
        <v>27.939445495605469</v>
      </c>
      <c r="BS3" s="443">
        <f>2^(-BR3)</f>
        <v>3.8849805029417977E-9</v>
      </c>
      <c r="BT3" s="515"/>
      <c r="BU3" s="400"/>
      <c r="BV3" s="452" t="s">
        <v>331</v>
      </c>
      <c r="BW3" s="202" t="s">
        <v>332</v>
      </c>
      <c r="BX3" s="443" t="s">
        <v>333</v>
      </c>
      <c r="BY3" s="443" t="e">
        <f>2^(-BX3)</f>
        <v>#VALUE!</v>
      </c>
      <c r="BZ3" s="515"/>
      <c r="CA3" s="400"/>
      <c r="CB3" s="452" t="s">
        <v>331</v>
      </c>
      <c r="CC3" s="202" t="s">
        <v>332</v>
      </c>
      <c r="CD3" s="443" t="s">
        <v>333</v>
      </c>
      <c r="CE3" s="443" t="e">
        <f>2^(-CD3)</f>
        <v>#VALUE!</v>
      </c>
      <c r="CF3" s="515"/>
      <c r="CG3" s="400"/>
      <c r="CH3" s="452" t="s">
        <v>331</v>
      </c>
      <c r="CI3" s="202" t="s">
        <v>332</v>
      </c>
      <c r="CJ3" s="443" t="s">
        <v>333</v>
      </c>
      <c r="CK3" s="443" t="e">
        <f>2^(-CJ3)</f>
        <v>#VALUE!</v>
      </c>
      <c r="CL3" s="515"/>
      <c r="CM3" s="400"/>
    </row>
    <row r="4" spans="1:91" x14ac:dyDescent="0.25">
      <c r="B4" s="486" t="s">
        <v>331</v>
      </c>
      <c r="C4" s="134" t="s">
        <v>332</v>
      </c>
      <c r="D4" s="134" t="s">
        <v>333</v>
      </c>
      <c r="E4" s="139" t="e">
        <f t="shared" ref="E4:E67" si="0">2^(-D4)</f>
        <v>#VALUE!</v>
      </c>
      <c r="F4" s="281"/>
      <c r="G4" s="488"/>
      <c r="H4" s="486" t="s">
        <v>331</v>
      </c>
      <c r="I4" s="134" t="s">
        <v>332</v>
      </c>
      <c r="J4" s="134" t="s">
        <v>333</v>
      </c>
      <c r="K4" s="139" t="e">
        <f t="shared" ref="K4:K67" si="1">2^(-J4)</f>
        <v>#VALUE!</v>
      </c>
      <c r="L4" s="281"/>
      <c r="M4" s="488"/>
      <c r="N4" s="494" t="s">
        <v>331</v>
      </c>
      <c r="O4" s="138" t="s">
        <v>332</v>
      </c>
      <c r="P4" s="138" t="s">
        <v>333</v>
      </c>
      <c r="Q4" s="138" t="e">
        <f t="shared" ref="Q4:Q67" si="2">2^(-P4)</f>
        <v>#VALUE!</v>
      </c>
      <c r="R4" s="495"/>
      <c r="S4" s="488"/>
      <c r="T4" s="257" t="s">
        <v>331</v>
      </c>
      <c r="U4" s="138" t="s">
        <v>332</v>
      </c>
      <c r="V4" s="138">
        <v>33.94769287109375</v>
      </c>
      <c r="W4" s="138">
        <f t="shared" ref="W4:W67" si="3">2^(-V4)</f>
        <v>6.0356793877560696E-11</v>
      </c>
      <c r="X4" s="495"/>
      <c r="Y4" s="488"/>
      <c r="Z4" s="513" t="s">
        <v>331</v>
      </c>
      <c r="AA4" s="134" t="s">
        <v>332</v>
      </c>
      <c r="AB4" s="134" t="s">
        <v>333</v>
      </c>
      <c r="AC4" s="134" t="e">
        <f t="shared" ref="AC4:AC67" si="4">2^(-AB4)</f>
        <v>#VALUE!</v>
      </c>
      <c r="AD4" s="516"/>
      <c r="AE4" s="385"/>
      <c r="AF4" s="513" t="s">
        <v>331</v>
      </c>
      <c r="AG4" s="134" t="s">
        <v>332</v>
      </c>
      <c r="AH4" s="134">
        <v>36.94927978515625</v>
      </c>
      <c r="AI4" s="134">
        <f t="shared" ref="AI4:AI67" si="5">2^(-AH4)</f>
        <v>7.5363050020550415E-12</v>
      </c>
      <c r="AJ4" s="516"/>
      <c r="AK4" s="385"/>
      <c r="AL4" s="513" t="s">
        <v>331</v>
      </c>
      <c r="AM4" s="134" t="s">
        <v>332</v>
      </c>
      <c r="AN4" s="134" t="s">
        <v>333</v>
      </c>
      <c r="AO4" s="134" t="e">
        <f t="shared" ref="AO4:AO67" si="6">2^(-AN4)</f>
        <v>#VALUE!</v>
      </c>
      <c r="AP4" s="516"/>
      <c r="AQ4" s="385"/>
      <c r="AR4" s="513" t="s">
        <v>331</v>
      </c>
      <c r="AS4" s="134" t="s">
        <v>332</v>
      </c>
      <c r="AT4" s="139" t="s">
        <v>333</v>
      </c>
      <c r="AU4" s="134" t="e">
        <f t="shared" ref="AU4:AU67" si="7">2^(-AT4)</f>
        <v>#VALUE!</v>
      </c>
      <c r="AV4" s="495"/>
      <c r="AW4" s="488"/>
      <c r="AX4" s="513" t="s">
        <v>331</v>
      </c>
      <c r="AY4" s="134" t="s">
        <v>332</v>
      </c>
      <c r="AZ4" s="134" t="s">
        <v>333</v>
      </c>
      <c r="BA4" s="134" t="e">
        <f t="shared" ref="BA4:BA67" si="8">2^(-AZ4)</f>
        <v>#VALUE!</v>
      </c>
      <c r="BB4" s="516"/>
      <c r="BC4" s="385"/>
      <c r="BD4" s="513" t="s">
        <v>331</v>
      </c>
      <c r="BE4" s="134" t="s">
        <v>332</v>
      </c>
      <c r="BF4" s="134" t="s">
        <v>333</v>
      </c>
      <c r="BG4" s="134" t="e">
        <f t="shared" ref="BG4:BG67" si="9">2^(-BF4)</f>
        <v>#VALUE!</v>
      </c>
      <c r="BH4" s="516"/>
      <c r="BI4" s="385"/>
      <c r="BJ4" s="513" t="s">
        <v>331</v>
      </c>
      <c r="BK4" s="134" t="s">
        <v>332</v>
      </c>
      <c r="BL4" s="134" t="s">
        <v>333</v>
      </c>
      <c r="BM4" s="134" t="e">
        <f t="shared" ref="BM4:BM67" si="10">2^(-BL4)</f>
        <v>#VALUE!</v>
      </c>
      <c r="BN4" s="516"/>
      <c r="BO4" s="385"/>
      <c r="BP4" s="513" t="s">
        <v>331</v>
      </c>
      <c r="BQ4" s="134" t="s">
        <v>332</v>
      </c>
      <c r="BR4" s="134">
        <v>35.927883148193359</v>
      </c>
      <c r="BS4" s="134">
        <f t="shared" ref="BS4:BS67" si="11">2^(-BR4)</f>
        <v>1.5297818067650649E-11</v>
      </c>
      <c r="BT4" s="516"/>
      <c r="BU4" s="385"/>
      <c r="BV4" s="513" t="s">
        <v>331</v>
      </c>
      <c r="BW4" s="134" t="s">
        <v>332</v>
      </c>
      <c r="BX4" s="134">
        <v>37.10955810546875</v>
      </c>
      <c r="BY4" s="134">
        <f t="shared" ref="BY4:BY67" si="12">2^(-BX4)</f>
        <v>6.7438807846537117E-12</v>
      </c>
      <c r="BZ4" s="516"/>
      <c r="CA4" s="385"/>
      <c r="CB4" s="513" t="s">
        <v>331</v>
      </c>
      <c r="CC4" s="134" t="s">
        <v>332</v>
      </c>
      <c r="CD4" s="134">
        <v>37.090145111083984</v>
      </c>
      <c r="CE4" s="134">
        <f t="shared" ref="CE4:CE67" si="13">2^(-CD4)</f>
        <v>6.8352401549891798E-12</v>
      </c>
      <c r="CF4" s="516"/>
      <c r="CG4" s="385"/>
      <c r="CH4" s="513" t="s">
        <v>331</v>
      </c>
      <c r="CI4" s="134" t="s">
        <v>332</v>
      </c>
      <c r="CJ4" s="134" t="s">
        <v>333</v>
      </c>
      <c r="CK4" s="134" t="e">
        <f t="shared" ref="CK4:CK67" si="14">2^(-CJ4)</f>
        <v>#VALUE!</v>
      </c>
      <c r="CL4" s="516"/>
      <c r="CM4" s="385"/>
    </row>
    <row r="5" spans="1:91" x14ac:dyDescent="0.25">
      <c r="B5" s="479" t="s">
        <v>349</v>
      </c>
      <c r="C5" s="132" t="s">
        <v>332</v>
      </c>
      <c r="D5" s="132">
        <v>8.9189891815185547</v>
      </c>
      <c r="E5" s="122">
        <f t="shared" si="0"/>
        <v>2.065935342794921E-3</v>
      </c>
      <c r="F5" s="271"/>
      <c r="G5" s="484"/>
      <c r="H5" s="479">
        <v>30</v>
      </c>
      <c r="I5" s="132" t="s">
        <v>332</v>
      </c>
      <c r="J5" s="132">
        <v>18.9820556640625</v>
      </c>
      <c r="K5" s="122">
        <f t="shared" si="1"/>
        <v>1.9312205129798593E-6</v>
      </c>
      <c r="L5" s="271"/>
      <c r="M5" s="484"/>
      <c r="N5" s="490">
        <v>15</v>
      </c>
      <c r="O5" s="79" t="s">
        <v>332</v>
      </c>
      <c r="P5" s="79" t="s">
        <v>333</v>
      </c>
      <c r="Q5" s="79" t="e">
        <f t="shared" si="2"/>
        <v>#VALUE!</v>
      </c>
      <c r="R5" s="274"/>
      <c r="S5" s="484"/>
      <c r="T5" s="412" t="s">
        <v>358</v>
      </c>
      <c r="U5" s="163" t="s">
        <v>332</v>
      </c>
      <c r="V5" s="163">
        <v>16.994680404663086</v>
      </c>
      <c r="W5" s="163">
        <f t="shared" si="3"/>
        <v>7.6575780397407132E-6</v>
      </c>
      <c r="X5" s="498"/>
      <c r="Y5" s="499"/>
      <c r="Z5" s="261" t="s">
        <v>386</v>
      </c>
      <c r="AA5" s="132" t="s">
        <v>332</v>
      </c>
      <c r="AB5" s="132">
        <v>26.427495956420898</v>
      </c>
      <c r="AC5" s="132">
        <f t="shared" si="4"/>
        <v>1.1079776675707145E-8</v>
      </c>
      <c r="AD5" s="517"/>
      <c r="AE5" s="384"/>
      <c r="AF5" s="261" t="s">
        <v>392</v>
      </c>
      <c r="AG5" s="132" t="s">
        <v>332</v>
      </c>
      <c r="AH5" s="132">
        <v>24.021608352661133</v>
      </c>
      <c r="AI5" s="132">
        <f t="shared" si="5"/>
        <v>5.8718552597898549E-8</v>
      </c>
      <c r="AJ5" s="517"/>
      <c r="AK5" s="384"/>
      <c r="AL5" s="261" t="s">
        <v>399</v>
      </c>
      <c r="AM5" s="132" t="s">
        <v>332</v>
      </c>
      <c r="AN5" s="132">
        <v>25.190166473388672</v>
      </c>
      <c r="AO5" s="132">
        <f t="shared" si="6"/>
        <v>2.6121871922216633E-8</v>
      </c>
      <c r="AP5" s="517"/>
      <c r="AQ5" s="384"/>
      <c r="AR5" s="261" t="s">
        <v>405</v>
      </c>
      <c r="AS5" s="132" t="s">
        <v>332</v>
      </c>
      <c r="AT5" s="122">
        <v>22.845958709716797</v>
      </c>
      <c r="AU5" s="132">
        <f t="shared" si="7"/>
        <v>1.3264202658626929E-7</v>
      </c>
      <c r="AV5" s="274"/>
      <c r="AW5" s="484"/>
      <c r="AX5" s="261" t="s">
        <v>349</v>
      </c>
      <c r="AY5" s="132" t="s">
        <v>332</v>
      </c>
      <c r="AZ5" s="132">
        <v>20.912673950195313</v>
      </c>
      <c r="BA5" s="132">
        <f t="shared" si="8"/>
        <v>5.0659144503269371E-7</v>
      </c>
      <c r="BB5" s="517"/>
      <c r="BC5" s="384"/>
      <c r="BD5" s="261" t="s">
        <v>429</v>
      </c>
      <c r="BE5" s="132" t="s">
        <v>332</v>
      </c>
      <c r="BF5" s="132">
        <v>21.338750839233398</v>
      </c>
      <c r="BG5" s="132">
        <f t="shared" si="9"/>
        <v>3.7704738004398121E-7</v>
      </c>
      <c r="BH5" s="517"/>
      <c r="BI5" s="384"/>
      <c r="BJ5" s="261" t="s">
        <v>439</v>
      </c>
      <c r="BK5" s="132" t="s">
        <v>332</v>
      </c>
      <c r="BL5" s="132">
        <v>21.421836853027344</v>
      </c>
      <c r="BM5" s="132">
        <f t="shared" si="10"/>
        <v>3.5594635092804514E-7</v>
      </c>
      <c r="BN5" s="517"/>
      <c r="BO5" s="384"/>
      <c r="BP5" s="261" t="s">
        <v>358</v>
      </c>
      <c r="BQ5" s="132" t="s">
        <v>332</v>
      </c>
      <c r="BR5" s="132">
        <v>20.927030563354492</v>
      </c>
      <c r="BS5" s="132">
        <f t="shared" si="11"/>
        <v>5.0157522916925733E-7</v>
      </c>
      <c r="BT5" s="517"/>
      <c r="BU5" s="384"/>
      <c r="BV5" s="261" t="s">
        <v>389</v>
      </c>
      <c r="BW5" s="132" t="s">
        <v>332</v>
      </c>
      <c r="BX5" s="132">
        <v>20.782506942749023</v>
      </c>
      <c r="BY5" s="132">
        <f t="shared" si="12"/>
        <v>5.5442400423049966E-7</v>
      </c>
      <c r="BZ5" s="517"/>
      <c r="CA5" s="384"/>
      <c r="CB5" s="261" t="s">
        <v>395</v>
      </c>
      <c r="CC5" s="132" t="s">
        <v>332</v>
      </c>
      <c r="CD5" s="132">
        <v>19.319330215454102</v>
      </c>
      <c r="CE5" s="132">
        <f t="shared" si="13"/>
        <v>1.5286290513023307E-6</v>
      </c>
      <c r="CF5" s="517"/>
      <c r="CG5" s="384"/>
      <c r="CH5" s="261" t="s">
        <v>402</v>
      </c>
      <c r="CI5" s="132" t="s">
        <v>332</v>
      </c>
      <c r="CJ5" s="132">
        <v>23.100198745727539</v>
      </c>
      <c r="CK5" s="132">
        <f t="shared" si="14"/>
        <v>1.1121087857806568E-7</v>
      </c>
      <c r="CL5" s="517"/>
      <c r="CM5" s="384"/>
    </row>
    <row r="6" spans="1:91" x14ac:dyDescent="0.25">
      <c r="B6" s="479" t="s">
        <v>349</v>
      </c>
      <c r="C6" s="132" t="s">
        <v>332</v>
      </c>
      <c r="D6" s="132">
        <v>9.7744102478027344</v>
      </c>
      <c r="E6" s="122">
        <f t="shared" si="0"/>
        <v>1.1418507079312011E-3</v>
      </c>
      <c r="F6" s="271"/>
      <c r="G6" s="484"/>
      <c r="H6" s="479">
        <v>30</v>
      </c>
      <c r="I6" s="132" t="s">
        <v>332</v>
      </c>
      <c r="J6" s="132">
        <v>16.885093688964844</v>
      </c>
      <c r="K6" s="122">
        <f t="shared" si="1"/>
        <v>8.2619073421333554E-6</v>
      </c>
      <c r="L6" s="271"/>
      <c r="M6" s="484"/>
      <c r="N6" s="490">
        <v>15</v>
      </c>
      <c r="O6" s="79" t="s">
        <v>332</v>
      </c>
      <c r="P6" s="79">
        <v>20.273538589477539</v>
      </c>
      <c r="Q6" s="79">
        <f t="shared" si="2"/>
        <v>7.8896323569016703E-7</v>
      </c>
      <c r="R6" s="274"/>
      <c r="S6" s="484"/>
      <c r="T6" s="80" t="s">
        <v>358</v>
      </c>
      <c r="U6" s="79" t="s">
        <v>332</v>
      </c>
      <c r="V6" s="79">
        <v>16.589412689208984</v>
      </c>
      <c r="W6" s="79">
        <f t="shared" si="3"/>
        <v>1.0141195851615075E-5</v>
      </c>
      <c r="X6" s="274"/>
      <c r="Y6" s="484"/>
      <c r="Z6" s="261" t="s">
        <v>386</v>
      </c>
      <c r="AA6" s="132" t="s">
        <v>332</v>
      </c>
      <c r="AB6" s="132">
        <v>26.659215927124023</v>
      </c>
      <c r="AC6" s="132">
        <f t="shared" si="4"/>
        <v>9.4357482468792784E-9</v>
      </c>
      <c r="AD6" s="517"/>
      <c r="AE6" s="384"/>
      <c r="AF6" s="261" t="s">
        <v>392</v>
      </c>
      <c r="AG6" s="132" t="s">
        <v>332</v>
      </c>
      <c r="AH6" s="132">
        <v>24.547231674194336</v>
      </c>
      <c r="AI6" s="132">
        <f t="shared" si="5"/>
        <v>4.0789366050717566E-8</v>
      </c>
      <c r="AJ6" s="517"/>
      <c r="AK6" s="384"/>
      <c r="AL6" s="261" t="s">
        <v>399</v>
      </c>
      <c r="AM6" s="132" t="s">
        <v>332</v>
      </c>
      <c r="AN6" s="132">
        <v>25.451776504516602</v>
      </c>
      <c r="AO6" s="132">
        <f t="shared" si="6"/>
        <v>2.1789729013451623E-8</v>
      </c>
      <c r="AP6" s="517"/>
      <c r="AQ6" s="384"/>
      <c r="AR6" s="261" t="s">
        <v>405</v>
      </c>
      <c r="AS6" s="132" t="s">
        <v>332</v>
      </c>
      <c r="AT6" s="122">
        <v>23.370670318603516</v>
      </c>
      <c r="AU6" s="132">
        <f t="shared" si="7"/>
        <v>9.2199213283607021E-8</v>
      </c>
      <c r="AV6" s="274"/>
      <c r="AW6" s="484"/>
      <c r="AX6" s="261" t="s">
        <v>349</v>
      </c>
      <c r="AY6" s="132" t="s">
        <v>332</v>
      </c>
      <c r="AZ6" s="132">
        <v>20.953897476196289</v>
      </c>
      <c r="BA6" s="132">
        <f t="shared" si="8"/>
        <v>4.923209688892087E-7</v>
      </c>
      <c r="BB6" s="517"/>
      <c r="BC6" s="384"/>
      <c r="BD6" s="261" t="s">
        <v>429</v>
      </c>
      <c r="BE6" s="132" t="s">
        <v>332</v>
      </c>
      <c r="BF6" s="132">
        <v>22.713211059570313</v>
      </c>
      <c r="BG6" s="132">
        <f t="shared" si="9"/>
        <v>1.4542603830118954E-7</v>
      </c>
      <c r="BH6" s="517"/>
      <c r="BI6" s="384"/>
      <c r="BJ6" s="261" t="s">
        <v>439</v>
      </c>
      <c r="BK6" s="132" t="s">
        <v>332</v>
      </c>
      <c r="BL6" s="132">
        <v>21.877754211425781</v>
      </c>
      <c r="BM6" s="132">
        <f t="shared" si="10"/>
        <v>2.5950142354492757E-7</v>
      </c>
      <c r="BN6" s="517"/>
      <c r="BO6" s="384"/>
      <c r="BP6" s="261" t="s">
        <v>358</v>
      </c>
      <c r="BQ6" s="132" t="s">
        <v>332</v>
      </c>
      <c r="BR6" s="132">
        <v>21.315742492675781</v>
      </c>
      <c r="BS6" s="132">
        <f t="shared" si="11"/>
        <v>3.8310880178521133E-7</v>
      </c>
      <c r="BT6" s="517"/>
      <c r="BU6" s="384"/>
      <c r="BV6" s="261" t="s">
        <v>389</v>
      </c>
      <c r="BW6" s="132" t="s">
        <v>332</v>
      </c>
      <c r="BX6" s="132">
        <v>20.969429016113281</v>
      </c>
      <c r="BY6" s="132">
        <f t="shared" si="12"/>
        <v>4.8704924471199532E-7</v>
      </c>
      <c r="BZ6" s="517"/>
      <c r="CA6" s="384"/>
      <c r="CB6" s="261" t="s">
        <v>395</v>
      </c>
      <c r="CC6" s="132" t="s">
        <v>332</v>
      </c>
      <c r="CD6" s="132">
        <v>19.412248611450195</v>
      </c>
      <c r="CE6" s="132">
        <f t="shared" si="13"/>
        <v>1.4332794848392138E-6</v>
      </c>
      <c r="CF6" s="517"/>
      <c r="CG6" s="384"/>
      <c r="CH6" s="261" t="s">
        <v>402</v>
      </c>
      <c r="CI6" s="132" t="s">
        <v>332</v>
      </c>
      <c r="CJ6" s="132">
        <v>22.150520324707031</v>
      </c>
      <c r="CK6" s="132">
        <f t="shared" si="14"/>
        <v>2.1479737157405131E-7</v>
      </c>
      <c r="CL6" s="517"/>
      <c r="CM6" s="384"/>
    </row>
    <row r="7" spans="1:91" x14ac:dyDescent="0.25">
      <c r="B7" s="479" t="s">
        <v>350</v>
      </c>
      <c r="C7" s="132" t="s">
        <v>332</v>
      </c>
      <c r="D7" s="132">
        <v>9.7388067245483398</v>
      </c>
      <c r="E7" s="122">
        <f t="shared" si="0"/>
        <v>1.1703804370672912E-3</v>
      </c>
      <c r="F7" s="271"/>
      <c r="G7" s="484"/>
      <c r="H7" s="479">
        <v>28</v>
      </c>
      <c r="I7" s="132" t="s">
        <v>332</v>
      </c>
      <c r="J7" s="132">
        <v>16.117574691772461</v>
      </c>
      <c r="K7" s="122">
        <f t="shared" si="1"/>
        <v>1.4064573287819815E-5</v>
      </c>
      <c r="L7" s="271"/>
      <c r="M7" s="484"/>
      <c r="N7" s="490">
        <v>5</v>
      </c>
      <c r="O7" s="79" t="s">
        <v>332</v>
      </c>
      <c r="P7" s="79">
        <v>20.230428695678711</v>
      </c>
      <c r="Q7" s="79">
        <f t="shared" si="2"/>
        <v>8.1289441073437622E-7</v>
      </c>
      <c r="R7" s="274"/>
      <c r="S7" s="484"/>
      <c r="T7" s="80" t="s">
        <v>359</v>
      </c>
      <c r="U7" s="79" t="s">
        <v>332</v>
      </c>
      <c r="V7" s="79">
        <v>16.769878387451172</v>
      </c>
      <c r="W7" s="79">
        <f t="shared" si="3"/>
        <v>8.9487748564500905E-6</v>
      </c>
      <c r="X7" s="274"/>
      <c r="Y7" s="484"/>
      <c r="Z7" s="261" t="s">
        <v>387</v>
      </c>
      <c r="AA7" s="132" t="s">
        <v>332</v>
      </c>
      <c r="AB7" s="132">
        <v>23.158065795898438</v>
      </c>
      <c r="AC7" s="132">
        <f t="shared" si="4"/>
        <v>1.0683844389270926E-7</v>
      </c>
      <c r="AD7" s="517"/>
      <c r="AE7" s="384"/>
      <c r="AF7" s="261" t="s">
        <v>393</v>
      </c>
      <c r="AG7" s="132" t="s">
        <v>332</v>
      </c>
      <c r="AH7" s="132">
        <v>23.798721313476563</v>
      </c>
      <c r="AI7" s="132">
        <f t="shared" si="5"/>
        <v>6.8528468507338199E-8</v>
      </c>
      <c r="AJ7" s="517"/>
      <c r="AK7" s="384"/>
      <c r="AL7" s="261" t="s">
        <v>400</v>
      </c>
      <c r="AM7" s="132" t="s">
        <v>332</v>
      </c>
      <c r="AN7" s="132">
        <v>23.401153564453125</v>
      </c>
      <c r="AO7" s="132">
        <f t="shared" si="6"/>
        <v>9.0271538447289189E-8</v>
      </c>
      <c r="AP7" s="517"/>
      <c r="AQ7" s="384"/>
      <c r="AR7" s="261" t="s">
        <v>406</v>
      </c>
      <c r="AS7" s="132" t="s">
        <v>332</v>
      </c>
      <c r="AT7" s="122">
        <v>24.229248046875</v>
      </c>
      <c r="AU7" s="132">
        <f t="shared" si="7"/>
        <v>5.0847495377450541E-8</v>
      </c>
      <c r="AV7" s="274"/>
      <c r="AW7" s="484"/>
      <c r="AX7" s="261" t="s">
        <v>350</v>
      </c>
      <c r="AY7" s="132" t="s">
        <v>332</v>
      </c>
      <c r="AZ7" s="132">
        <v>21.865232467651367</v>
      </c>
      <c r="BA7" s="132">
        <f t="shared" si="8"/>
        <v>2.6176354590133441E-7</v>
      </c>
      <c r="BB7" s="517"/>
      <c r="BC7" s="384"/>
      <c r="BD7" s="261" t="s">
        <v>430</v>
      </c>
      <c r="BE7" s="132" t="s">
        <v>332</v>
      </c>
      <c r="BF7" s="132">
        <v>20.734003067016602</v>
      </c>
      <c r="BG7" s="132">
        <f t="shared" si="9"/>
        <v>5.7338080052320601E-7</v>
      </c>
      <c r="BH7" s="517"/>
      <c r="BI7" s="384"/>
      <c r="BJ7" s="261" t="s">
        <v>440</v>
      </c>
      <c r="BK7" s="132" t="s">
        <v>332</v>
      </c>
      <c r="BL7" s="132">
        <v>21.79987907409668</v>
      </c>
      <c r="BM7" s="132">
        <f t="shared" si="10"/>
        <v>2.7389398629557409E-7</v>
      </c>
      <c r="BN7" s="517"/>
      <c r="BO7" s="384"/>
      <c r="BP7" s="261" t="s">
        <v>359</v>
      </c>
      <c r="BQ7" s="132" t="s">
        <v>332</v>
      </c>
      <c r="BR7" s="132">
        <v>21.631591796875</v>
      </c>
      <c r="BS7" s="132">
        <f t="shared" si="11"/>
        <v>3.0778114798557953E-7</v>
      </c>
      <c r="BT7" s="517"/>
      <c r="BU7" s="384"/>
      <c r="BV7" s="261" t="s">
        <v>390</v>
      </c>
      <c r="BW7" s="132" t="s">
        <v>332</v>
      </c>
      <c r="BX7" s="132">
        <v>19.410995483398438</v>
      </c>
      <c r="BY7" s="132">
        <f t="shared" si="12"/>
        <v>1.4345249753580809E-6</v>
      </c>
      <c r="BZ7" s="517"/>
      <c r="CA7" s="384"/>
      <c r="CB7" s="261" t="s">
        <v>396</v>
      </c>
      <c r="CC7" s="132" t="s">
        <v>332</v>
      </c>
      <c r="CD7" s="132">
        <v>20.489246368408203</v>
      </c>
      <c r="CE7" s="132">
        <f t="shared" si="13"/>
        <v>6.7939485639055925E-7</v>
      </c>
      <c r="CF7" s="517"/>
      <c r="CG7" s="384"/>
      <c r="CH7" s="261" t="s">
        <v>403</v>
      </c>
      <c r="CI7" s="132" t="s">
        <v>332</v>
      </c>
      <c r="CJ7" s="132">
        <v>25.726839065551758</v>
      </c>
      <c r="CK7" s="132">
        <f t="shared" si="14"/>
        <v>1.8007347588016891E-8</v>
      </c>
      <c r="CL7" s="517"/>
      <c r="CM7" s="384"/>
    </row>
    <row r="8" spans="1:91" x14ac:dyDescent="0.25">
      <c r="B8" s="479" t="s">
        <v>350</v>
      </c>
      <c r="C8" s="132" t="s">
        <v>332</v>
      </c>
      <c r="D8" s="132">
        <v>12.004886627197266</v>
      </c>
      <c r="E8" s="122">
        <f t="shared" si="0"/>
        <v>2.4331508253501932E-4</v>
      </c>
      <c r="F8" s="271"/>
      <c r="G8" s="484"/>
      <c r="H8" s="479">
        <v>28</v>
      </c>
      <c r="I8" s="132" t="s">
        <v>332</v>
      </c>
      <c r="J8" s="132">
        <v>16.070587158203125</v>
      </c>
      <c r="K8" s="122">
        <f t="shared" si="1"/>
        <v>1.4530187463356695E-5</v>
      </c>
      <c r="L8" s="271"/>
      <c r="M8" s="484"/>
      <c r="N8" s="490">
        <v>5</v>
      </c>
      <c r="O8" s="79" t="s">
        <v>332</v>
      </c>
      <c r="P8" s="79">
        <v>20.534543991088867</v>
      </c>
      <c r="Q8" s="79">
        <f t="shared" si="2"/>
        <v>6.5839467756604182E-7</v>
      </c>
      <c r="R8" s="274"/>
      <c r="S8" s="484"/>
      <c r="T8" s="257" t="s">
        <v>359</v>
      </c>
      <c r="U8" s="138" t="s">
        <v>332</v>
      </c>
      <c r="V8" s="138" t="s">
        <v>333</v>
      </c>
      <c r="W8" s="138" t="e">
        <f t="shared" si="3"/>
        <v>#VALUE!</v>
      </c>
      <c r="X8" s="495"/>
      <c r="Y8" s="488"/>
      <c r="Z8" s="261" t="s">
        <v>387</v>
      </c>
      <c r="AA8" s="132" t="s">
        <v>332</v>
      </c>
      <c r="AB8" s="132">
        <v>22.898330688476563</v>
      </c>
      <c r="AC8" s="132">
        <f t="shared" si="4"/>
        <v>1.2791327314216381E-7</v>
      </c>
      <c r="AD8" s="517"/>
      <c r="AE8" s="384"/>
      <c r="AF8" s="261" t="s">
        <v>393</v>
      </c>
      <c r="AG8" s="132" t="s">
        <v>332</v>
      </c>
      <c r="AH8" s="132">
        <v>24.137140274047852</v>
      </c>
      <c r="AI8" s="132">
        <f t="shared" si="5"/>
        <v>5.4199685682354672E-8</v>
      </c>
      <c r="AJ8" s="517"/>
      <c r="AK8" s="384"/>
      <c r="AL8" s="261" t="s">
        <v>400</v>
      </c>
      <c r="AM8" s="132" t="s">
        <v>332</v>
      </c>
      <c r="AN8" s="132">
        <v>23.525762557983398</v>
      </c>
      <c r="AO8" s="132">
        <f t="shared" si="6"/>
        <v>8.2801804063261165E-8</v>
      </c>
      <c r="AP8" s="517"/>
      <c r="AQ8" s="384"/>
      <c r="AR8" s="261" t="s">
        <v>406</v>
      </c>
      <c r="AS8" s="132" t="s">
        <v>332</v>
      </c>
      <c r="AT8" s="122">
        <v>22.901294708251953</v>
      </c>
      <c r="AU8" s="132">
        <f t="shared" si="7"/>
        <v>1.2765074484779682E-7</v>
      </c>
      <c r="AV8" s="274"/>
      <c r="AW8" s="484"/>
      <c r="AX8" s="261" t="s">
        <v>350</v>
      </c>
      <c r="AY8" s="132" t="s">
        <v>332</v>
      </c>
      <c r="AZ8" s="132">
        <v>22.024953842163086</v>
      </c>
      <c r="BA8" s="132">
        <f t="shared" si="8"/>
        <v>2.3433018769789416E-7</v>
      </c>
      <c r="BB8" s="517"/>
      <c r="BC8" s="384"/>
      <c r="BD8" s="261" t="s">
        <v>430</v>
      </c>
      <c r="BE8" s="132" t="s">
        <v>332</v>
      </c>
      <c r="BF8" s="132">
        <v>22.198246002197266</v>
      </c>
      <c r="BG8" s="132">
        <f t="shared" si="9"/>
        <v>2.0780792324964535E-7</v>
      </c>
      <c r="BH8" s="517"/>
      <c r="BI8" s="384"/>
      <c r="BJ8" s="261" t="s">
        <v>440</v>
      </c>
      <c r="BK8" s="132" t="s">
        <v>332</v>
      </c>
      <c r="BL8" s="132">
        <v>22.249301910400391</v>
      </c>
      <c r="BM8" s="132">
        <f t="shared" si="10"/>
        <v>2.0058236257860257E-7</v>
      </c>
      <c r="BN8" s="517"/>
      <c r="BO8" s="384"/>
      <c r="BP8" s="261" t="s">
        <v>359</v>
      </c>
      <c r="BQ8" s="132" t="s">
        <v>332</v>
      </c>
      <c r="BR8" s="132">
        <v>22.32386589050293</v>
      </c>
      <c r="BS8" s="132">
        <f t="shared" si="11"/>
        <v>1.9047884446941664E-7</v>
      </c>
      <c r="BT8" s="517"/>
      <c r="BU8" s="384"/>
      <c r="BV8" s="261" t="s">
        <v>390</v>
      </c>
      <c r="BW8" s="132" t="s">
        <v>332</v>
      </c>
      <c r="BX8" s="132">
        <v>19.544120788574219</v>
      </c>
      <c r="BY8" s="132">
        <f t="shared" si="12"/>
        <v>1.3080772839013816E-6</v>
      </c>
      <c r="BZ8" s="517"/>
      <c r="CA8" s="384"/>
      <c r="CB8" s="261" t="s">
        <v>396</v>
      </c>
      <c r="CC8" s="132" t="s">
        <v>332</v>
      </c>
      <c r="CD8" s="132">
        <v>20.368247985839844</v>
      </c>
      <c r="CE8" s="132">
        <f t="shared" si="13"/>
        <v>7.388331908114666E-7</v>
      </c>
      <c r="CF8" s="517"/>
      <c r="CG8" s="384"/>
      <c r="CH8" s="261" t="s">
        <v>403</v>
      </c>
      <c r="CI8" s="132" t="s">
        <v>332</v>
      </c>
      <c r="CJ8" s="132">
        <v>26.194847106933594</v>
      </c>
      <c r="CK8" s="132">
        <f t="shared" si="14"/>
        <v>1.3018630144073062E-8</v>
      </c>
      <c r="CL8" s="517"/>
      <c r="CM8" s="384"/>
    </row>
    <row r="9" spans="1:91" x14ac:dyDescent="0.25">
      <c r="B9" s="479" t="s">
        <v>351</v>
      </c>
      <c r="C9" s="132" t="s">
        <v>332</v>
      </c>
      <c r="D9" s="132">
        <v>13.163575172424316</v>
      </c>
      <c r="E9" s="122">
        <f t="shared" si="0"/>
        <v>1.089855757724351E-4</v>
      </c>
      <c r="F9" s="271"/>
      <c r="G9" s="484"/>
      <c r="H9" s="479" t="s">
        <v>334</v>
      </c>
      <c r="I9" s="132" t="s">
        <v>332</v>
      </c>
      <c r="J9" s="132">
        <v>17.438192367553711</v>
      </c>
      <c r="K9" s="122">
        <f t="shared" si="1"/>
        <v>5.6309416522180522E-6</v>
      </c>
      <c r="L9" s="271"/>
      <c r="M9" s="484"/>
      <c r="N9" s="490">
        <v>18</v>
      </c>
      <c r="O9" s="79" t="s">
        <v>332</v>
      </c>
      <c r="P9" s="79">
        <v>19.914867401123047</v>
      </c>
      <c r="Q9" s="79">
        <f t="shared" si="2"/>
        <v>1.0116436331072866E-6</v>
      </c>
      <c r="R9" s="274"/>
      <c r="S9" s="484"/>
      <c r="T9" s="496" t="s">
        <v>360</v>
      </c>
      <c r="U9" s="274" t="s">
        <v>360</v>
      </c>
      <c r="V9" s="274" t="s">
        <v>360</v>
      </c>
      <c r="W9" s="274"/>
      <c r="X9" s="274"/>
      <c r="Y9" s="484"/>
      <c r="Z9" s="261" t="s">
        <v>388</v>
      </c>
      <c r="AA9" s="132" t="s">
        <v>332</v>
      </c>
      <c r="AB9" s="132">
        <v>25.481508255004883</v>
      </c>
      <c r="AC9" s="132">
        <f t="shared" si="4"/>
        <v>2.1345271368498372E-8</v>
      </c>
      <c r="AD9" s="517"/>
      <c r="AE9" s="384"/>
      <c r="AF9" s="261" t="s">
        <v>394</v>
      </c>
      <c r="AG9" s="132" t="s">
        <v>332</v>
      </c>
      <c r="AH9" s="132">
        <v>25.278448104858398</v>
      </c>
      <c r="AI9" s="132">
        <f t="shared" si="5"/>
        <v>2.4571341991075732E-8</v>
      </c>
      <c r="AJ9" s="517"/>
      <c r="AK9" s="384"/>
      <c r="AL9" s="261" t="s">
        <v>401</v>
      </c>
      <c r="AM9" s="132" t="s">
        <v>332</v>
      </c>
      <c r="AN9" s="132">
        <v>25.179176330566406</v>
      </c>
      <c r="AO9" s="132">
        <f t="shared" si="6"/>
        <v>2.6321622628941383E-8</v>
      </c>
      <c r="AP9" s="517"/>
      <c r="AQ9" s="384"/>
      <c r="AR9" s="261" t="s">
        <v>407</v>
      </c>
      <c r="AS9" s="132" t="s">
        <v>332</v>
      </c>
      <c r="AT9" s="122">
        <v>22.253810882568359</v>
      </c>
      <c r="AU9" s="132">
        <f t="shared" si="7"/>
        <v>1.9995644482969859E-7</v>
      </c>
      <c r="AV9" s="274"/>
      <c r="AW9" s="484"/>
      <c r="AX9" s="261" t="s">
        <v>351</v>
      </c>
      <c r="AY9" s="132" t="s">
        <v>332</v>
      </c>
      <c r="AZ9" s="132">
        <v>22.7269287109375</v>
      </c>
      <c r="BA9" s="132">
        <f t="shared" si="8"/>
        <v>1.4404982953747812E-7</v>
      </c>
      <c r="BB9" s="517"/>
      <c r="BC9" s="384"/>
      <c r="BD9" s="261" t="s">
        <v>334</v>
      </c>
      <c r="BE9" s="132" t="s">
        <v>332</v>
      </c>
      <c r="BF9" s="132">
        <v>21.937870025634766</v>
      </c>
      <c r="BG9" s="132">
        <f t="shared" si="9"/>
        <v>2.4891042211259801E-7</v>
      </c>
      <c r="BH9" s="517"/>
      <c r="BI9" s="384"/>
      <c r="BJ9" s="261" t="s">
        <v>441</v>
      </c>
      <c r="BK9" s="132" t="s">
        <v>332</v>
      </c>
      <c r="BL9" s="132">
        <v>20.972238540649414</v>
      </c>
      <c r="BM9" s="132">
        <f t="shared" si="10"/>
        <v>4.8610168113758245E-7</v>
      </c>
      <c r="BN9" s="517"/>
      <c r="BO9" s="384"/>
      <c r="BP9" s="261" t="s">
        <v>386</v>
      </c>
      <c r="BQ9" s="132" t="s">
        <v>332</v>
      </c>
      <c r="BR9" s="132">
        <v>28.971359252929688</v>
      </c>
      <c r="BS9" s="132">
        <f t="shared" si="11"/>
        <v>1.8999923384868384E-9</v>
      </c>
      <c r="BT9" s="517"/>
      <c r="BU9" s="384"/>
      <c r="BV9" s="261" t="s">
        <v>392</v>
      </c>
      <c r="BW9" s="132" t="s">
        <v>332</v>
      </c>
      <c r="BX9" s="132">
        <v>19.935234069824219</v>
      </c>
      <c r="BY9" s="132">
        <f t="shared" si="12"/>
        <v>9.9746249358911563E-7</v>
      </c>
      <c r="BZ9" s="517"/>
      <c r="CA9" s="384"/>
      <c r="CB9" s="261" t="s">
        <v>399</v>
      </c>
      <c r="CC9" s="132" t="s">
        <v>332</v>
      </c>
      <c r="CD9" s="132">
        <v>19.794275283813477</v>
      </c>
      <c r="CE9" s="132">
        <f t="shared" si="13"/>
        <v>1.0998397130322262E-6</v>
      </c>
      <c r="CF9" s="517"/>
      <c r="CG9" s="384"/>
      <c r="CH9" s="261" t="s">
        <v>405</v>
      </c>
      <c r="CI9" s="132" t="s">
        <v>332</v>
      </c>
      <c r="CJ9" s="132">
        <v>23.08592414855957</v>
      </c>
      <c r="CK9" s="132">
        <f t="shared" si="14"/>
        <v>1.1231670485742544E-7</v>
      </c>
      <c r="CL9" s="517"/>
      <c r="CM9" s="384"/>
    </row>
    <row r="10" spans="1:91" x14ac:dyDescent="0.25">
      <c r="B10" s="479" t="s">
        <v>351</v>
      </c>
      <c r="C10" s="132" t="s">
        <v>332</v>
      </c>
      <c r="D10" s="132">
        <v>12.539628982543945</v>
      </c>
      <c r="E10" s="122">
        <f t="shared" si="0"/>
        <v>1.6795600724022215E-4</v>
      </c>
      <c r="F10" s="271"/>
      <c r="G10" s="484"/>
      <c r="H10" s="479" t="s">
        <v>334</v>
      </c>
      <c r="I10" s="132" t="s">
        <v>332</v>
      </c>
      <c r="J10" s="132">
        <v>17.241310119628906</v>
      </c>
      <c r="K10" s="122">
        <f t="shared" si="1"/>
        <v>6.4542902155016315E-6</v>
      </c>
      <c r="L10" s="271"/>
      <c r="M10" s="484"/>
      <c r="N10" s="490">
        <v>18</v>
      </c>
      <c r="O10" s="79" t="s">
        <v>332</v>
      </c>
      <c r="P10" s="79">
        <v>19.885862350463867</v>
      </c>
      <c r="Q10" s="79">
        <f t="shared" si="2"/>
        <v>1.0321883258887533E-6</v>
      </c>
      <c r="R10" s="274"/>
      <c r="S10" s="484"/>
      <c r="T10" s="496" t="s">
        <v>360</v>
      </c>
      <c r="U10" s="274" t="s">
        <v>360</v>
      </c>
      <c r="V10" s="274" t="s">
        <v>360</v>
      </c>
      <c r="W10" s="274"/>
      <c r="X10" s="274"/>
      <c r="Y10" s="484"/>
      <c r="Z10" s="261" t="s">
        <v>388</v>
      </c>
      <c r="AA10" s="132" t="s">
        <v>332</v>
      </c>
      <c r="AB10" s="132">
        <v>25.562795639038086</v>
      </c>
      <c r="AC10" s="132">
        <f t="shared" si="4"/>
        <v>2.0175845317143454E-8</v>
      </c>
      <c r="AD10" s="517"/>
      <c r="AE10" s="384"/>
      <c r="AF10" s="261" t="s">
        <v>394</v>
      </c>
      <c r="AG10" s="132" t="s">
        <v>332</v>
      </c>
      <c r="AH10" s="132">
        <v>26.04051399230957</v>
      </c>
      <c r="AI10" s="132">
        <f t="shared" si="5"/>
        <v>1.4488525377208138E-8</v>
      </c>
      <c r="AJ10" s="517"/>
      <c r="AK10" s="384"/>
      <c r="AL10" s="261" t="s">
        <v>401</v>
      </c>
      <c r="AM10" s="132" t="s">
        <v>332</v>
      </c>
      <c r="AN10" s="132">
        <v>25.887615203857422</v>
      </c>
      <c r="AO10" s="132">
        <f t="shared" si="6"/>
        <v>1.6108359276559298E-8</v>
      </c>
      <c r="AP10" s="517"/>
      <c r="AQ10" s="384"/>
      <c r="AR10" s="261" t="s">
        <v>407</v>
      </c>
      <c r="AS10" s="132" t="s">
        <v>332</v>
      </c>
      <c r="AT10" s="122">
        <v>22.922500610351563</v>
      </c>
      <c r="AU10" s="132">
        <f t="shared" si="7"/>
        <v>1.2578815312035183E-7</v>
      </c>
      <c r="AV10" s="274"/>
      <c r="AW10" s="484"/>
      <c r="AX10" s="261" t="s">
        <v>351</v>
      </c>
      <c r="AY10" s="132" t="s">
        <v>332</v>
      </c>
      <c r="AZ10" s="132">
        <v>21.90269660949707</v>
      </c>
      <c r="BA10" s="132">
        <f t="shared" si="8"/>
        <v>2.5505352763234814E-7</v>
      </c>
      <c r="BB10" s="517"/>
      <c r="BC10" s="384"/>
      <c r="BD10" s="261" t="s">
        <v>334</v>
      </c>
      <c r="BE10" s="132" t="s">
        <v>332</v>
      </c>
      <c r="BF10" s="132">
        <v>22.450138092041016</v>
      </c>
      <c r="BG10" s="132">
        <f t="shared" si="9"/>
        <v>1.7451591052273417E-7</v>
      </c>
      <c r="BH10" s="517"/>
      <c r="BI10" s="384"/>
      <c r="BJ10" s="261" t="s">
        <v>441</v>
      </c>
      <c r="BK10" s="132" t="s">
        <v>332</v>
      </c>
      <c r="BL10" s="132">
        <v>21.935081481933594</v>
      </c>
      <c r="BM10" s="132">
        <f t="shared" si="10"/>
        <v>2.4939199916323467E-7</v>
      </c>
      <c r="BN10" s="517"/>
      <c r="BO10" s="384"/>
      <c r="BP10" s="261" t="s">
        <v>386</v>
      </c>
      <c r="BQ10" s="132" t="s">
        <v>332</v>
      </c>
      <c r="BR10" s="132">
        <v>28.805072784423828</v>
      </c>
      <c r="BS10" s="132">
        <f t="shared" si="11"/>
        <v>2.1321073367397137E-9</v>
      </c>
      <c r="BT10" s="517"/>
      <c r="BU10" s="384"/>
      <c r="BV10" s="261" t="s">
        <v>392</v>
      </c>
      <c r="BW10" s="132" t="s">
        <v>332</v>
      </c>
      <c r="BX10" s="132">
        <v>19.69256591796875</v>
      </c>
      <c r="BY10" s="132">
        <f t="shared" si="12"/>
        <v>1.1801765122384538E-6</v>
      </c>
      <c r="BZ10" s="517"/>
      <c r="CA10" s="384"/>
      <c r="CB10" s="261" t="s">
        <v>399</v>
      </c>
      <c r="CC10" s="132" t="s">
        <v>332</v>
      </c>
      <c r="CD10" s="132">
        <v>20.182344436645508</v>
      </c>
      <c r="CE10" s="132">
        <f t="shared" si="13"/>
        <v>8.4044431094300871E-7</v>
      </c>
      <c r="CF10" s="517"/>
      <c r="CG10" s="384"/>
      <c r="CH10" s="261" t="s">
        <v>405</v>
      </c>
      <c r="CI10" s="132" t="s">
        <v>332</v>
      </c>
      <c r="CJ10" s="132">
        <v>23.521713256835938</v>
      </c>
      <c r="CK10" s="132">
        <f t="shared" si="14"/>
        <v>8.3034535451394693E-8</v>
      </c>
      <c r="CL10" s="517"/>
      <c r="CM10" s="384"/>
    </row>
    <row r="11" spans="1:91" x14ac:dyDescent="0.25">
      <c r="B11" s="479" t="s">
        <v>352</v>
      </c>
      <c r="C11" s="132" t="s">
        <v>332</v>
      </c>
      <c r="D11" s="132">
        <v>11.561907768249512</v>
      </c>
      <c r="E11" s="122">
        <f t="shared" si="0"/>
        <v>3.3076454786683246E-4</v>
      </c>
      <c r="F11" s="271"/>
      <c r="G11" s="484"/>
      <c r="H11" s="479">
        <v>19</v>
      </c>
      <c r="I11" s="132" t="s">
        <v>332</v>
      </c>
      <c r="J11" s="132">
        <v>17.280588150024414</v>
      </c>
      <c r="K11" s="122">
        <f t="shared" si="1"/>
        <v>6.280939701967167E-6</v>
      </c>
      <c r="L11" s="271"/>
      <c r="M11" s="484"/>
      <c r="N11" s="490">
        <v>4</v>
      </c>
      <c r="O11" s="79" t="s">
        <v>332</v>
      </c>
      <c r="P11" s="79">
        <v>18.703197479248047</v>
      </c>
      <c r="Q11" s="79">
        <f t="shared" si="2"/>
        <v>2.3430229573933735E-6</v>
      </c>
      <c r="R11" s="274"/>
      <c r="S11" s="484"/>
      <c r="T11" s="496" t="s">
        <v>360</v>
      </c>
      <c r="U11" s="274" t="s">
        <v>360</v>
      </c>
      <c r="V11" s="274" t="s">
        <v>360</v>
      </c>
      <c r="W11" s="274"/>
      <c r="X11" s="274"/>
      <c r="Y11" s="484"/>
      <c r="Z11" s="261" t="s">
        <v>389</v>
      </c>
      <c r="AA11" s="132" t="s">
        <v>332</v>
      </c>
      <c r="AB11" s="132">
        <v>26.156208038330078</v>
      </c>
      <c r="AC11" s="132">
        <f t="shared" si="4"/>
        <v>1.337201353889862E-8</v>
      </c>
      <c r="AD11" s="517"/>
      <c r="AE11" s="384"/>
      <c r="AF11" s="261" t="s">
        <v>395</v>
      </c>
      <c r="AG11" s="132" t="s">
        <v>332</v>
      </c>
      <c r="AH11" s="132">
        <v>24.922235488891602</v>
      </c>
      <c r="AI11" s="132">
        <f t="shared" si="5"/>
        <v>3.145281777649902E-8</v>
      </c>
      <c r="AJ11" s="517"/>
      <c r="AK11" s="384"/>
      <c r="AL11" s="261" t="s">
        <v>402</v>
      </c>
      <c r="AM11" s="132" t="s">
        <v>332</v>
      </c>
      <c r="AN11" s="132">
        <v>21.921087265014648</v>
      </c>
      <c r="AO11" s="132">
        <f t="shared" si="6"/>
        <v>2.5182288532461878E-7</v>
      </c>
      <c r="AP11" s="517"/>
      <c r="AQ11" s="384"/>
      <c r="AR11" s="525" t="s">
        <v>360</v>
      </c>
      <c r="AS11" s="396" t="s">
        <v>360</v>
      </c>
      <c r="AT11" s="526" t="s">
        <v>360</v>
      </c>
      <c r="AU11" s="396"/>
      <c r="AV11" s="498"/>
      <c r="AW11" s="499"/>
      <c r="AX11" s="261" t="s">
        <v>352</v>
      </c>
      <c r="AY11" s="132" t="s">
        <v>332</v>
      </c>
      <c r="AZ11" s="132">
        <v>20.92779541015625</v>
      </c>
      <c r="BA11" s="132">
        <f t="shared" si="8"/>
        <v>5.0130938883124249E-7</v>
      </c>
      <c r="BB11" s="517"/>
      <c r="BC11" s="384"/>
      <c r="BD11" s="261" t="s">
        <v>431</v>
      </c>
      <c r="BE11" s="132" t="s">
        <v>332</v>
      </c>
      <c r="BF11" s="132">
        <v>22.543935775756836</v>
      </c>
      <c r="BG11" s="132">
        <f t="shared" si="9"/>
        <v>1.6353063049305655E-7</v>
      </c>
      <c r="BH11" s="517"/>
      <c r="BI11" s="384"/>
      <c r="BJ11" s="261" t="s">
        <v>442</v>
      </c>
      <c r="BK11" s="132" t="s">
        <v>332</v>
      </c>
      <c r="BL11" s="132">
        <v>21.338796615600586</v>
      </c>
      <c r="BM11" s="132">
        <f t="shared" si="10"/>
        <v>3.7703541661095951E-7</v>
      </c>
      <c r="BN11" s="517"/>
      <c r="BO11" s="384"/>
      <c r="BP11" s="261" t="s">
        <v>387</v>
      </c>
      <c r="BQ11" s="132" t="s">
        <v>332</v>
      </c>
      <c r="BR11" s="132">
        <v>25.284215927124023</v>
      </c>
      <c r="BS11" s="132">
        <f t="shared" si="11"/>
        <v>2.4473303108563913E-8</v>
      </c>
      <c r="BT11" s="517"/>
      <c r="BU11" s="384"/>
      <c r="BV11" s="261" t="s">
        <v>393</v>
      </c>
      <c r="BW11" s="132" t="s">
        <v>332</v>
      </c>
      <c r="BX11" s="132">
        <v>18.779060363769531</v>
      </c>
      <c r="BY11" s="132">
        <f t="shared" si="12"/>
        <v>2.2230003962950083E-6</v>
      </c>
      <c r="BZ11" s="517"/>
      <c r="CA11" s="384"/>
      <c r="CB11" s="261" t="s">
        <v>400</v>
      </c>
      <c r="CC11" s="132" t="s">
        <v>332</v>
      </c>
      <c r="CD11" s="132">
        <v>18.67803955078125</v>
      </c>
      <c r="CE11" s="132">
        <f t="shared" si="13"/>
        <v>2.3842392601133636E-6</v>
      </c>
      <c r="CF11" s="517"/>
      <c r="CG11" s="384"/>
      <c r="CH11" s="261" t="s">
        <v>406</v>
      </c>
      <c r="CI11" s="132" t="s">
        <v>332</v>
      </c>
      <c r="CJ11" s="132">
        <v>22.927845001220703</v>
      </c>
      <c r="CK11" s="132">
        <f t="shared" si="14"/>
        <v>1.2532303929133529E-7</v>
      </c>
      <c r="CL11" s="517"/>
      <c r="CM11" s="384"/>
    </row>
    <row r="12" spans="1:91" x14ac:dyDescent="0.25">
      <c r="B12" s="479" t="s">
        <v>352</v>
      </c>
      <c r="C12" s="132" t="s">
        <v>332</v>
      </c>
      <c r="D12" s="132">
        <v>13.113186836242676</v>
      </c>
      <c r="E12" s="122">
        <f t="shared" si="0"/>
        <v>1.1285931852244042E-4</v>
      </c>
      <c r="F12" s="271"/>
      <c r="G12" s="484"/>
      <c r="H12" s="479">
        <v>19</v>
      </c>
      <c r="I12" s="132" t="s">
        <v>332</v>
      </c>
      <c r="J12" s="132">
        <v>17.174968719482422</v>
      </c>
      <c r="K12" s="122">
        <f t="shared" si="1"/>
        <v>6.7580163919386906E-6</v>
      </c>
      <c r="L12" s="271"/>
      <c r="M12" s="484"/>
      <c r="N12" s="490">
        <v>4</v>
      </c>
      <c r="O12" s="79" t="s">
        <v>332</v>
      </c>
      <c r="P12" s="79">
        <v>20.280065536499023</v>
      </c>
      <c r="Q12" s="79">
        <f t="shared" si="2"/>
        <v>7.8540192156771654E-7</v>
      </c>
      <c r="R12" s="274"/>
      <c r="S12" s="484"/>
      <c r="T12" s="496" t="s">
        <v>360</v>
      </c>
      <c r="U12" s="274" t="s">
        <v>360</v>
      </c>
      <c r="V12" s="274" t="s">
        <v>360</v>
      </c>
      <c r="W12" s="274"/>
      <c r="X12" s="274"/>
      <c r="Y12" s="484"/>
      <c r="Z12" s="261" t="s">
        <v>389</v>
      </c>
      <c r="AA12" s="132" t="s">
        <v>332</v>
      </c>
      <c r="AB12" s="132">
        <v>26.801532745361328</v>
      </c>
      <c r="AC12" s="132">
        <f t="shared" si="4"/>
        <v>8.549381830547997E-9</v>
      </c>
      <c r="AD12" s="517"/>
      <c r="AE12" s="384"/>
      <c r="AF12" s="261" t="s">
        <v>395</v>
      </c>
      <c r="AG12" s="132" t="s">
        <v>332</v>
      </c>
      <c r="AH12" s="132">
        <v>24.775058746337891</v>
      </c>
      <c r="AI12" s="132">
        <f t="shared" si="5"/>
        <v>3.483085802453927E-8</v>
      </c>
      <c r="AJ12" s="517"/>
      <c r="AK12" s="384"/>
      <c r="AL12" s="261" t="s">
        <v>402</v>
      </c>
      <c r="AM12" s="132" t="s">
        <v>332</v>
      </c>
      <c r="AN12" s="132">
        <v>22.140420913696289</v>
      </c>
      <c r="AO12" s="132">
        <f t="shared" si="6"/>
        <v>2.1630630983305422E-7</v>
      </c>
      <c r="AP12" s="517"/>
      <c r="AQ12" s="384"/>
      <c r="AR12" s="523" t="s">
        <v>360</v>
      </c>
      <c r="AS12" s="272" t="s">
        <v>360</v>
      </c>
      <c r="AT12" s="527" t="s">
        <v>360</v>
      </c>
      <c r="AU12" s="272"/>
      <c r="AV12" s="274"/>
      <c r="AW12" s="484"/>
      <c r="AX12" s="261" t="s">
        <v>352</v>
      </c>
      <c r="AY12" s="132" t="s">
        <v>332</v>
      </c>
      <c r="AZ12" s="132">
        <v>20.920783996582031</v>
      </c>
      <c r="BA12" s="132">
        <f t="shared" si="8"/>
        <v>5.0375165298330827E-7</v>
      </c>
      <c r="BB12" s="517"/>
      <c r="BC12" s="384"/>
      <c r="BD12" s="261" t="s">
        <v>431</v>
      </c>
      <c r="BE12" s="132" t="s">
        <v>332</v>
      </c>
      <c r="BF12" s="132">
        <v>22.286176681518555</v>
      </c>
      <c r="BG12" s="132">
        <f t="shared" si="9"/>
        <v>1.9552051396562391E-7</v>
      </c>
      <c r="BH12" s="517"/>
      <c r="BI12" s="384"/>
      <c r="BJ12" s="261" t="s">
        <v>442</v>
      </c>
      <c r="BK12" s="132" t="s">
        <v>332</v>
      </c>
      <c r="BL12" s="132">
        <v>21.976905822753906</v>
      </c>
      <c r="BM12" s="132">
        <f t="shared" si="10"/>
        <v>2.4226581403950934E-7</v>
      </c>
      <c r="BN12" s="517"/>
      <c r="BO12" s="384"/>
      <c r="BP12" s="261" t="s">
        <v>387</v>
      </c>
      <c r="BQ12" s="132" t="s">
        <v>332</v>
      </c>
      <c r="BR12" s="132">
        <v>23.932981491088867</v>
      </c>
      <c r="BS12" s="132">
        <f t="shared" si="11"/>
        <v>6.2438819792600968E-8</v>
      </c>
      <c r="BT12" s="517"/>
      <c r="BU12" s="384"/>
      <c r="BV12" s="261" t="s">
        <v>393</v>
      </c>
      <c r="BW12" s="132" t="s">
        <v>332</v>
      </c>
      <c r="BX12" s="132">
        <v>19.467241287231445</v>
      </c>
      <c r="BY12" s="132">
        <f t="shared" si="12"/>
        <v>1.3796738717754899E-6</v>
      </c>
      <c r="BZ12" s="517"/>
      <c r="CA12" s="384"/>
      <c r="CB12" s="261" t="s">
        <v>400</v>
      </c>
      <c r="CC12" s="132" t="s">
        <v>332</v>
      </c>
      <c r="CD12" s="132">
        <v>19.508674621582031</v>
      </c>
      <c r="CE12" s="132">
        <f t="shared" si="13"/>
        <v>1.3406140396566423E-6</v>
      </c>
      <c r="CF12" s="517"/>
      <c r="CG12" s="384"/>
      <c r="CH12" s="261" t="s">
        <v>406</v>
      </c>
      <c r="CI12" s="132" t="s">
        <v>332</v>
      </c>
      <c r="CJ12" s="132">
        <v>22.818155288696289</v>
      </c>
      <c r="CK12" s="132">
        <f t="shared" si="14"/>
        <v>1.352230764718734E-7</v>
      </c>
      <c r="CL12" s="517"/>
      <c r="CM12" s="384"/>
    </row>
    <row r="13" spans="1:91" x14ac:dyDescent="0.25">
      <c r="B13" s="479" t="s">
        <v>353</v>
      </c>
      <c r="C13" s="132" t="s">
        <v>332</v>
      </c>
      <c r="D13" s="132">
        <v>18.657255172729492</v>
      </c>
      <c r="E13" s="122">
        <f t="shared" si="0"/>
        <v>2.4188367384222354E-6</v>
      </c>
      <c r="F13" s="271"/>
      <c r="G13" s="484"/>
      <c r="H13" s="479">
        <v>20</v>
      </c>
      <c r="I13" s="132" t="s">
        <v>332</v>
      </c>
      <c r="J13" s="132">
        <v>17.05961799621582</v>
      </c>
      <c r="K13" s="122">
        <f t="shared" si="1"/>
        <v>7.3205425381301961E-6</v>
      </c>
      <c r="L13" s="271"/>
      <c r="M13" s="484"/>
      <c r="N13" s="490" t="s">
        <v>356</v>
      </c>
      <c r="O13" s="79" t="s">
        <v>332</v>
      </c>
      <c r="P13" s="79">
        <v>20.149641036987305</v>
      </c>
      <c r="Q13" s="79">
        <f t="shared" si="2"/>
        <v>8.5971330110901957E-7</v>
      </c>
      <c r="R13" s="274"/>
      <c r="S13" s="484"/>
      <c r="T13" s="496" t="s">
        <v>360</v>
      </c>
      <c r="U13" s="274" t="s">
        <v>360</v>
      </c>
      <c r="V13" s="274" t="s">
        <v>360</v>
      </c>
      <c r="W13" s="274"/>
      <c r="X13" s="274"/>
      <c r="Y13" s="484"/>
      <c r="Z13" s="261" t="s">
        <v>390</v>
      </c>
      <c r="AA13" s="132" t="s">
        <v>332</v>
      </c>
      <c r="AB13" s="132">
        <v>24.615646362304688</v>
      </c>
      <c r="AC13" s="132">
        <f t="shared" si="4"/>
        <v>3.8900222221935558E-8</v>
      </c>
      <c r="AD13" s="517"/>
      <c r="AE13" s="384"/>
      <c r="AF13" s="261" t="s">
        <v>396</v>
      </c>
      <c r="AG13" s="132" t="s">
        <v>332</v>
      </c>
      <c r="AH13" s="132">
        <v>25.339780807495117</v>
      </c>
      <c r="AI13" s="132">
        <f t="shared" si="5"/>
        <v>2.3548643412163079E-8</v>
      </c>
      <c r="AJ13" s="517"/>
      <c r="AK13" s="384"/>
      <c r="AL13" s="261" t="s">
        <v>403</v>
      </c>
      <c r="AM13" s="132" t="s">
        <v>332</v>
      </c>
      <c r="AN13" s="132">
        <v>25.393241882324219</v>
      </c>
      <c r="AO13" s="132">
        <f t="shared" si="6"/>
        <v>2.2691985964374672E-8</v>
      </c>
      <c r="AP13" s="517"/>
      <c r="AQ13" s="384"/>
      <c r="AR13" s="523" t="s">
        <v>360</v>
      </c>
      <c r="AS13" s="272" t="s">
        <v>360</v>
      </c>
      <c r="AT13" s="527" t="s">
        <v>360</v>
      </c>
      <c r="AU13" s="272"/>
      <c r="AV13" s="274"/>
      <c r="AW13" s="484"/>
      <c r="AX13" s="261" t="s">
        <v>353</v>
      </c>
      <c r="AY13" s="132" t="s">
        <v>332</v>
      </c>
      <c r="AZ13" s="132">
        <v>23.25676155090332</v>
      </c>
      <c r="BA13" s="132">
        <f t="shared" si="8"/>
        <v>9.9773951175505357E-8</v>
      </c>
      <c r="BB13" s="517"/>
      <c r="BC13" s="384"/>
      <c r="BD13" s="261" t="s">
        <v>432</v>
      </c>
      <c r="BE13" s="132" t="s">
        <v>332</v>
      </c>
      <c r="BF13" s="132">
        <v>20.880754470825195</v>
      </c>
      <c r="BG13" s="132">
        <f t="shared" si="9"/>
        <v>5.1792463921227679E-7</v>
      </c>
      <c r="BH13" s="517"/>
      <c r="BI13" s="384"/>
      <c r="BJ13" s="261" t="s">
        <v>356</v>
      </c>
      <c r="BK13" s="132" t="s">
        <v>332</v>
      </c>
      <c r="BL13" s="132">
        <v>21.32890510559082</v>
      </c>
      <c r="BM13" s="132">
        <f t="shared" si="10"/>
        <v>3.7962935630143903E-7</v>
      </c>
      <c r="BN13" s="517"/>
      <c r="BO13" s="384"/>
      <c r="BP13" s="261" t="s">
        <v>388</v>
      </c>
      <c r="BQ13" s="132" t="s">
        <v>332</v>
      </c>
      <c r="BR13" s="132">
        <v>26.825428009033203</v>
      </c>
      <c r="BS13" s="132">
        <f t="shared" si="11"/>
        <v>8.4089452098295693E-9</v>
      </c>
      <c r="BT13" s="517"/>
      <c r="BU13" s="384"/>
      <c r="BV13" s="261" t="s">
        <v>394</v>
      </c>
      <c r="BW13" s="132" t="s">
        <v>332</v>
      </c>
      <c r="BX13" s="132">
        <v>21.584878921508789</v>
      </c>
      <c r="BY13" s="132">
        <f t="shared" si="12"/>
        <v>3.179098556434431E-7</v>
      </c>
      <c r="BZ13" s="517"/>
      <c r="CA13" s="384"/>
      <c r="CB13" s="261" t="s">
        <v>401</v>
      </c>
      <c r="CC13" s="132" t="s">
        <v>332</v>
      </c>
      <c r="CD13" s="132">
        <v>20.143703460693359</v>
      </c>
      <c r="CE13" s="132">
        <f t="shared" si="13"/>
        <v>8.6325884046860736E-7</v>
      </c>
      <c r="CF13" s="517"/>
      <c r="CG13" s="384"/>
      <c r="CH13" s="261" t="s">
        <v>407</v>
      </c>
      <c r="CI13" s="132" t="s">
        <v>332</v>
      </c>
      <c r="CJ13" s="132">
        <v>23.175827026367188</v>
      </c>
      <c r="CK13" s="132">
        <f t="shared" si="14"/>
        <v>1.0553120344903322E-7</v>
      </c>
      <c r="CL13" s="517"/>
      <c r="CM13" s="384"/>
    </row>
    <row r="14" spans="1:91" ht="15.75" thickBot="1" x14ac:dyDescent="0.3">
      <c r="B14" s="480" t="s">
        <v>353</v>
      </c>
      <c r="C14" s="203" t="s">
        <v>332</v>
      </c>
      <c r="D14" s="203">
        <v>15.586799621582031</v>
      </c>
      <c r="E14" s="123">
        <f t="shared" si="0"/>
        <v>2.0319161280893991E-5</v>
      </c>
      <c r="F14" s="276"/>
      <c r="G14" s="485"/>
      <c r="H14" s="480">
        <v>20</v>
      </c>
      <c r="I14" s="203" t="s">
        <v>332</v>
      </c>
      <c r="J14" s="203">
        <v>16.868019104003906</v>
      </c>
      <c r="K14" s="123">
        <f t="shared" si="1"/>
        <v>8.3602695917418574E-6</v>
      </c>
      <c r="L14" s="276"/>
      <c r="M14" s="485"/>
      <c r="N14" s="491" t="s">
        <v>356</v>
      </c>
      <c r="O14" s="82" t="s">
        <v>332</v>
      </c>
      <c r="P14" s="82">
        <v>19.820940017700195</v>
      </c>
      <c r="Q14" s="82">
        <f t="shared" si="2"/>
        <v>1.0796985357945954E-6</v>
      </c>
      <c r="R14" s="493"/>
      <c r="S14" s="485"/>
      <c r="T14" s="497" t="s">
        <v>360</v>
      </c>
      <c r="U14" s="493" t="s">
        <v>360</v>
      </c>
      <c r="V14" s="493" t="s">
        <v>360</v>
      </c>
      <c r="W14" s="493"/>
      <c r="X14" s="493"/>
      <c r="Y14" s="485"/>
      <c r="Z14" s="262" t="s">
        <v>390</v>
      </c>
      <c r="AA14" s="203" t="s">
        <v>332</v>
      </c>
      <c r="AB14" s="203">
        <v>24.925325393676758</v>
      </c>
      <c r="AC14" s="203">
        <f t="shared" si="4"/>
        <v>3.1385525515174231E-8</v>
      </c>
      <c r="AD14" s="518"/>
      <c r="AE14" s="425"/>
      <c r="AF14" s="262" t="s">
        <v>396</v>
      </c>
      <c r="AG14" s="203" t="s">
        <v>332</v>
      </c>
      <c r="AH14" s="203">
        <v>24.853923797607422</v>
      </c>
      <c r="AI14" s="203">
        <f t="shared" si="5"/>
        <v>3.2977932669028666E-8</v>
      </c>
      <c r="AJ14" s="518"/>
      <c r="AK14" s="425"/>
      <c r="AL14" s="262" t="s">
        <v>403</v>
      </c>
      <c r="AM14" s="203" t="s">
        <v>332</v>
      </c>
      <c r="AN14" s="203">
        <v>25.205654144287109</v>
      </c>
      <c r="AO14" s="203">
        <f t="shared" si="6"/>
        <v>2.5842947316980827E-8</v>
      </c>
      <c r="AP14" s="518"/>
      <c r="AQ14" s="425"/>
      <c r="AR14" s="524" t="s">
        <v>360</v>
      </c>
      <c r="AS14" s="278" t="s">
        <v>360</v>
      </c>
      <c r="AT14" s="528" t="s">
        <v>360</v>
      </c>
      <c r="AU14" s="278"/>
      <c r="AV14" s="493"/>
      <c r="AW14" s="485"/>
      <c r="AX14" s="262" t="s">
        <v>353</v>
      </c>
      <c r="AY14" s="203" t="s">
        <v>332</v>
      </c>
      <c r="AZ14" s="203">
        <v>22.999029159545898</v>
      </c>
      <c r="BA14" s="203">
        <f t="shared" si="8"/>
        <v>1.192895366901524E-7</v>
      </c>
      <c r="BB14" s="518"/>
      <c r="BC14" s="425"/>
      <c r="BD14" s="262" t="s">
        <v>432</v>
      </c>
      <c r="BE14" s="203" t="s">
        <v>332</v>
      </c>
      <c r="BF14" s="203">
        <v>22.849430084228516</v>
      </c>
      <c r="BG14" s="203">
        <f t="shared" si="9"/>
        <v>1.3232325053185913E-7</v>
      </c>
      <c r="BH14" s="518"/>
      <c r="BI14" s="425"/>
      <c r="BJ14" s="262" t="s">
        <v>356</v>
      </c>
      <c r="BK14" s="203" t="s">
        <v>332</v>
      </c>
      <c r="BL14" s="203">
        <v>21.27801513671875</v>
      </c>
      <c r="BM14" s="203">
        <f t="shared" si="10"/>
        <v>3.9325947550420226E-7</v>
      </c>
      <c r="BN14" s="518"/>
      <c r="BO14" s="425"/>
      <c r="BP14" s="262" t="s">
        <v>388</v>
      </c>
      <c r="BQ14" s="203" t="s">
        <v>332</v>
      </c>
      <c r="BR14" s="203">
        <v>27.332616806030273</v>
      </c>
      <c r="BS14" s="203">
        <f t="shared" si="11"/>
        <v>5.9164674751877654E-9</v>
      </c>
      <c r="BT14" s="518"/>
      <c r="BU14" s="425"/>
      <c r="BV14" s="262" t="s">
        <v>394</v>
      </c>
      <c r="BW14" s="203" t="s">
        <v>332</v>
      </c>
      <c r="BX14" s="203">
        <v>21.538734436035156</v>
      </c>
      <c r="BY14" s="203">
        <f t="shared" si="12"/>
        <v>3.2824254112749247E-7</v>
      </c>
      <c r="BZ14" s="518"/>
      <c r="CA14" s="425"/>
      <c r="CB14" s="262" t="s">
        <v>401</v>
      </c>
      <c r="CC14" s="203" t="s">
        <v>332</v>
      </c>
      <c r="CD14" s="203">
        <v>20.162864685058594</v>
      </c>
      <c r="CE14" s="203">
        <f t="shared" si="13"/>
        <v>8.5186922944858825E-7</v>
      </c>
      <c r="CF14" s="518"/>
      <c r="CG14" s="425"/>
      <c r="CH14" s="262" t="s">
        <v>407</v>
      </c>
      <c r="CI14" s="203" t="s">
        <v>332</v>
      </c>
      <c r="CJ14" s="203">
        <v>23.212770462036133</v>
      </c>
      <c r="CK14" s="203">
        <f t="shared" si="14"/>
        <v>1.0286314734342517E-7</v>
      </c>
      <c r="CL14" s="518"/>
      <c r="CM14" s="425"/>
    </row>
    <row r="15" spans="1:91" x14ac:dyDescent="0.25">
      <c r="B15" s="478" t="s">
        <v>331</v>
      </c>
      <c r="C15" s="202" t="s">
        <v>335</v>
      </c>
      <c r="D15" s="202" t="s">
        <v>333</v>
      </c>
      <c r="E15" s="443" t="e">
        <f t="shared" si="0"/>
        <v>#VALUE!</v>
      </c>
      <c r="F15" s="8" t="e">
        <f t="shared" ref="F15:F26" si="15">E15/E3</f>
        <v>#VALUE!</v>
      </c>
      <c r="G15" s="487"/>
      <c r="H15" s="478" t="s">
        <v>331</v>
      </c>
      <c r="I15" s="202" t="s">
        <v>335</v>
      </c>
      <c r="J15" s="202" t="s">
        <v>333</v>
      </c>
      <c r="K15" s="443" t="e">
        <f t="shared" si="1"/>
        <v>#VALUE!</v>
      </c>
      <c r="L15" s="8" t="e">
        <f>K15/K3</f>
        <v>#VALUE!</v>
      </c>
      <c r="M15" s="487"/>
      <c r="N15" s="489" t="s">
        <v>331</v>
      </c>
      <c r="O15" s="251" t="s">
        <v>335</v>
      </c>
      <c r="P15" s="251" t="s">
        <v>333</v>
      </c>
      <c r="Q15" s="251" t="e">
        <f t="shared" si="2"/>
        <v>#VALUE!</v>
      </c>
      <c r="R15" s="251" t="e">
        <f>Q15/Q3</f>
        <v>#VALUE!</v>
      </c>
      <c r="S15" s="487"/>
      <c r="T15" s="375" t="s">
        <v>331</v>
      </c>
      <c r="U15" s="251" t="s">
        <v>335</v>
      </c>
      <c r="V15" s="251">
        <v>33.831783294677734</v>
      </c>
      <c r="W15" s="251">
        <f t="shared" si="3"/>
        <v>6.5406125222087735E-11</v>
      </c>
      <c r="X15" s="345">
        <f t="shared" ref="X15:X20" si="16">W15/W3</f>
        <v>9.2969579348892157</v>
      </c>
      <c r="Y15" s="487"/>
      <c r="Z15" s="452" t="s">
        <v>331</v>
      </c>
      <c r="AA15" s="202" t="s">
        <v>335</v>
      </c>
      <c r="AB15" s="202" t="s">
        <v>333</v>
      </c>
      <c r="AC15" s="202" t="e">
        <f t="shared" si="4"/>
        <v>#VALUE!</v>
      </c>
      <c r="AD15" s="514" t="e">
        <f>AC15/$AC$3</f>
        <v>#VALUE!</v>
      </c>
      <c r="AE15" s="400"/>
      <c r="AF15" s="452" t="s">
        <v>331</v>
      </c>
      <c r="AG15" s="202" t="s">
        <v>335</v>
      </c>
      <c r="AH15" s="202" t="s">
        <v>333</v>
      </c>
      <c r="AI15" s="202" t="e">
        <f t="shared" si="5"/>
        <v>#VALUE!</v>
      </c>
      <c r="AJ15" s="514" t="e">
        <f>AI15/AI3</f>
        <v>#VALUE!</v>
      </c>
      <c r="AK15" s="400"/>
      <c r="AL15" s="452" t="s">
        <v>331</v>
      </c>
      <c r="AM15" s="202" t="s">
        <v>335</v>
      </c>
      <c r="AN15" s="202" t="s">
        <v>333</v>
      </c>
      <c r="AO15" s="202" t="e">
        <f t="shared" si="6"/>
        <v>#VALUE!</v>
      </c>
      <c r="AP15" s="514" t="e">
        <f>AO15/AO3</f>
        <v>#VALUE!</v>
      </c>
      <c r="AQ15" s="400"/>
      <c r="AR15" s="452" t="s">
        <v>331</v>
      </c>
      <c r="AS15" s="202" t="s">
        <v>335</v>
      </c>
      <c r="AT15" s="443" t="s">
        <v>333</v>
      </c>
      <c r="AU15" s="202" t="e">
        <f t="shared" si="7"/>
        <v>#VALUE!</v>
      </c>
      <c r="AV15" s="251" t="e">
        <f>AU15/AU3</f>
        <v>#VALUE!</v>
      </c>
      <c r="AW15" s="487"/>
      <c r="AX15" s="452" t="s">
        <v>331</v>
      </c>
      <c r="AY15" s="202" t="s">
        <v>421</v>
      </c>
      <c r="AZ15" s="202" t="s">
        <v>333</v>
      </c>
      <c r="BA15" s="202" t="e">
        <f t="shared" si="8"/>
        <v>#VALUE!</v>
      </c>
      <c r="BB15" s="514" t="e">
        <f>BA15/BA3</f>
        <v>#VALUE!</v>
      </c>
      <c r="BC15" s="400"/>
      <c r="BD15" s="452" t="s">
        <v>331</v>
      </c>
      <c r="BE15" s="202" t="s">
        <v>421</v>
      </c>
      <c r="BF15" s="202" t="s">
        <v>333</v>
      </c>
      <c r="BG15" s="202" t="e">
        <f t="shared" si="9"/>
        <v>#VALUE!</v>
      </c>
      <c r="BH15" s="514" t="e">
        <f>BG15/BG3</f>
        <v>#VALUE!</v>
      </c>
      <c r="BI15" s="400"/>
      <c r="BJ15" s="452" t="s">
        <v>331</v>
      </c>
      <c r="BK15" s="202" t="s">
        <v>421</v>
      </c>
      <c r="BL15" s="202" t="s">
        <v>333</v>
      </c>
      <c r="BM15" s="202" t="e">
        <f t="shared" si="10"/>
        <v>#VALUE!</v>
      </c>
      <c r="BN15" s="514" t="e">
        <f>BM15/BM3</f>
        <v>#VALUE!</v>
      </c>
      <c r="BO15" s="400"/>
      <c r="BP15" s="452" t="s">
        <v>331</v>
      </c>
      <c r="BQ15" s="202" t="s">
        <v>421</v>
      </c>
      <c r="BR15" s="202" t="s">
        <v>333</v>
      </c>
      <c r="BS15" s="202" t="e">
        <f t="shared" si="11"/>
        <v>#VALUE!</v>
      </c>
      <c r="BT15" s="514" t="e">
        <f>BS15/BS3</f>
        <v>#VALUE!</v>
      </c>
      <c r="BU15" s="400"/>
      <c r="BV15" s="452" t="s">
        <v>331</v>
      </c>
      <c r="BW15" s="202" t="s">
        <v>421</v>
      </c>
      <c r="BX15" s="202" t="s">
        <v>333</v>
      </c>
      <c r="BY15" s="202" t="e">
        <f t="shared" si="12"/>
        <v>#VALUE!</v>
      </c>
      <c r="BZ15" s="514" t="e">
        <f>BY15/BY3</f>
        <v>#VALUE!</v>
      </c>
      <c r="CA15" s="400"/>
      <c r="CB15" s="452" t="s">
        <v>331</v>
      </c>
      <c r="CC15" s="202" t="s">
        <v>421</v>
      </c>
      <c r="CD15" s="202">
        <v>35.2969970703125</v>
      </c>
      <c r="CE15" s="202">
        <f t="shared" si="13"/>
        <v>2.3688912564839328E-11</v>
      </c>
      <c r="CF15" s="514" t="e">
        <f>CE15/CE3</f>
        <v>#VALUE!</v>
      </c>
      <c r="CG15" s="400"/>
      <c r="CH15" s="452" t="s">
        <v>331</v>
      </c>
      <c r="CI15" s="202" t="s">
        <v>421</v>
      </c>
      <c r="CJ15" s="202" t="s">
        <v>333</v>
      </c>
      <c r="CK15" s="202" t="e">
        <f t="shared" si="14"/>
        <v>#VALUE!</v>
      </c>
      <c r="CL15" s="514" t="e">
        <f>CK15/CK3</f>
        <v>#VALUE!</v>
      </c>
      <c r="CM15" s="400"/>
    </row>
    <row r="16" spans="1:91" x14ac:dyDescent="0.25">
      <c r="B16" s="486" t="s">
        <v>331</v>
      </c>
      <c r="C16" s="134" t="s">
        <v>335</v>
      </c>
      <c r="D16" s="134" t="s">
        <v>333</v>
      </c>
      <c r="E16" s="139" t="e">
        <f t="shared" si="0"/>
        <v>#VALUE!</v>
      </c>
      <c r="F16" s="162" t="e">
        <f t="shared" si="15"/>
        <v>#VALUE!</v>
      </c>
      <c r="G16" s="488"/>
      <c r="H16" s="486" t="s">
        <v>331</v>
      </c>
      <c r="I16" s="134" t="s">
        <v>335</v>
      </c>
      <c r="J16" s="134" t="s">
        <v>333</v>
      </c>
      <c r="K16" s="139" t="e">
        <f t="shared" si="1"/>
        <v>#VALUE!</v>
      </c>
      <c r="L16" s="162" t="e">
        <f t="shared" ref="L16:L26" si="17">K16/K4</f>
        <v>#VALUE!</v>
      </c>
      <c r="M16" s="488"/>
      <c r="N16" s="494" t="s">
        <v>331</v>
      </c>
      <c r="O16" s="138" t="s">
        <v>335</v>
      </c>
      <c r="P16" s="138" t="s">
        <v>333</v>
      </c>
      <c r="Q16" s="138" t="e">
        <f t="shared" si="2"/>
        <v>#VALUE!</v>
      </c>
      <c r="R16" s="138" t="e">
        <f t="shared" ref="R16:R26" si="18">Q16/Q4</f>
        <v>#VALUE!</v>
      </c>
      <c r="S16" s="488"/>
      <c r="T16" s="257" t="s">
        <v>331</v>
      </c>
      <c r="U16" s="138" t="s">
        <v>335</v>
      </c>
      <c r="V16" s="138" t="s">
        <v>333</v>
      </c>
      <c r="W16" s="138" t="e">
        <f t="shared" si="3"/>
        <v>#VALUE!</v>
      </c>
      <c r="X16" s="138" t="e">
        <f t="shared" si="16"/>
        <v>#VALUE!</v>
      </c>
      <c r="Y16" s="488"/>
      <c r="Z16" s="513" t="s">
        <v>331</v>
      </c>
      <c r="AA16" s="134" t="s">
        <v>335</v>
      </c>
      <c r="AB16" s="134" t="s">
        <v>333</v>
      </c>
      <c r="AC16" s="134" t="e">
        <f t="shared" si="4"/>
        <v>#VALUE!</v>
      </c>
      <c r="AD16" s="519" t="e">
        <f>AC16/$AC$4</f>
        <v>#VALUE!</v>
      </c>
      <c r="AE16" s="385"/>
      <c r="AF16" s="513" t="s">
        <v>331</v>
      </c>
      <c r="AG16" s="134" t="s">
        <v>335</v>
      </c>
      <c r="AH16" s="134" t="s">
        <v>333</v>
      </c>
      <c r="AI16" s="134" t="e">
        <f t="shared" si="5"/>
        <v>#VALUE!</v>
      </c>
      <c r="AJ16" s="519" t="e">
        <f t="shared" ref="AJ16:AJ26" si="19">AI16/AI4</f>
        <v>#VALUE!</v>
      </c>
      <c r="AK16" s="385"/>
      <c r="AL16" s="513" t="s">
        <v>331</v>
      </c>
      <c r="AM16" s="134" t="s">
        <v>335</v>
      </c>
      <c r="AN16" s="134" t="s">
        <v>333</v>
      </c>
      <c r="AO16" s="134" t="e">
        <f t="shared" si="6"/>
        <v>#VALUE!</v>
      </c>
      <c r="AP16" s="519" t="e">
        <f t="shared" ref="AP16:AP26" si="20">AO16/AO4</f>
        <v>#VALUE!</v>
      </c>
      <c r="AQ16" s="385"/>
      <c r="AR16" s="513" t="s">
        <v>331</v>
      </c>
      <c r="AS16" s="134" t="s">
        <v>335</v>
      </c>
      <c r="AT16" s="139" t="s">
        <v>333</v>
      </c>
      <c r="AU16" s="134" t="e">
        <f t="shared" si="7"/>
        <v>#VALUE!</v>
      </c>
      <c r="AV16" s="138" t="e">
        <f t="shared" ref="AV16:AV22" si="21">AU16/AU4</f>
        <v>#VALUE!</v>
      </c>
      <c r="AW16" s="488"/>
      <c r="AX16" s="513" t="s">
        <v>331</v>
      </c>
      <c r="AY16" s="134" t="s">
        <v>421</v>
      </c>
      <c r="AZ16" s="134" t="s">
        <v>333</v>
      </c>
      <c r="BA16" s="134" t="e">
        <f t="shared" si="8"/>
        <v>#VALUE!</v>
      </c>
      <c r="BB16" s="519" t="e">
        <f t="shared" ref="BB16:BB26" si="22">BA16/BA4</f>
        <v>#VALUE!</v>
      </c>
      <c r="BC16" s="385"/>
      <c r="BD16" s="513" t="s">
        <v>331</v>
      </c>
      <c r="BE16" s="134" t="s">
        <v>421</v>
      </c>
      <c r="BF16" s="134">
        <v>37.041633605957031</v>
      </c>
      <c r="BG16" s="134">
        <f t="shared" si="9"/>
        <v>7.0689872152733227E-12</v>
      </c>
      <c r="BH16" s="519" t="e">
        <f t="shared" ref="BH16:BH26" si="23">BG16/BG4</f>
        <v>#VALUE!</v>
      </c>
      <c r="BI16" s="385"/>
      <c r="BJ16" s="513" t="s">
        <v>331</v>
      </c>
      <c r="BK16" s="134" t="s">
        <v>421</v>
      </c>
      <c r="BL16" s="134" t="s">
        <v>333</v>
      </c>
      <c r="BM16" s="134" t="e">
        <f t="shared" si="10"/>
        <v>#VALUE!</v>
      </c>
      <c r="BN16" s="519" t="e">
        <f t="shared" ref="BN16:BN26" si="24">BM16/BM4</f>
        <v>#VALUE!</v>
      </c>
      <c r="BO16" s="385"/>
      <c r="BP16" s="513" t="s">
        <v>331</v>
      </c>
      <c r="BQ16" s="134" t="s">
        <v>421</v>
      </c>
      <c r="BR16" s="134" t="s">
        <v>333</v>
      </c>
      <c r="BS16" s="134" t="e">
        <f t="shared" si="11"/>
        <v>#VALUE!</v>
      </c>
      <c r="BT16" s="519" t="e">
        <f t="shared" ref="BT16:BT26" si="25">BS16/BS4</f>
        <v>#VALUE!</v>
      </c>
      <c r="BU16" s="385"/>
      <c r="BV16" s="513" t="s">
        <v>331</v>
      </c>
      <c r="BW16" s="134" t="s">
        <v>421</v>
      </c>
      <c r="BX16" s="134">
        <v>33.97308349609375</v>
      </c>
      <c r="BY16" s="134">
        <f t="shared" si="12"/>
        <v>5.9303840966404465E-11</v>
      </c>
      <c r="BZ16" s="519">
        <f t="shared" ref="BZ16:BZ26" si="26">BY16/BY4</f>
        <v>8.7937261734156866</v>
      </c>
      <c r="CA16" s="385"/>
      <c r="CB16" s="513" t="s">
        <v>331</v>
      </c>
      <c r="CC16" s="134" t="s">
        <v>421</v>
      </c>
      <c r="CD16" s="134">
        <v>35.927921295166016</v>
      </c>
      <c r="CE16" s="134">
        <f t="shared" si="13"/>
        <v>1.5297413576253749E-11</v>
      </c>
      <c r="CF16" s="519">
        <f t="shared" ref="CF16:CF26" si="27">CE16/CE4</f>
        <v>2.2380213758967722</v>
      </c>
      <c r="CG16" s="385"/>
      <c r="CH16" s="513" t="s">
        <v>331</v>
      </c>
      <c r="CI16" s="134" t="s">
        <v>421</v>
      </c>
      <c r="CJ16" s="134" t="s">
        <v>333</v>
      </c>
      <c r="CK16" s="134" t="e">
        <f t="shared" si="14"/>
        <v>#VALUE!</v>
      </c>
      <c r="CL16" s="519" t="e">
        <f t="shared" ref="CL16:CL26" si="28">CK16/CK4</f>
        <v>#VALUE!</v>
      </c>
      <c r="CM16" s="385"/>
    </row>
    <row r="17" spans="2:91" x14ac:dyDescent="0.25">
      <c r="B17" s="479" t="s">
        <v>349</v>
      </c>
      <c r="C17" s="132" t="s">
        <v>335</v>
      </c>
      <c r="D17" s="132">
        <v>17.250171661376953</v>
      </c>
      <c r="E17" s="122">
        <f t="shared" si="0"/>
        <v>6.4147671951382981E-6</v>
      </c>
      <c r="F17">
        <f t="shared" si="15"/>
        <v>3.105018372191657E-3</v>
      </c>
      <c r="G17" s="789">
        <f>AVERAGE(F17:F18)</f>
        <v>3.2027073670028508E-3</v>
      </c>
      <c r="H17" s="479">
        <v>30</v>
      </c>
      <c r="I17" s="132" t="s">
        <v>335</v>
      </c>
      <c r="J17" s="132">
        <v>23.399032592773438</v>
      </c>
      <c r="K17" s="122">
        <f t="shared" si="1"/>
        <v>9.0404348347931514E-8</v>
      </c>
      <c r="L17">
        <f t="shared" si="17"/>
        <v>4.6812027803307794E-2</v>
      </c>
      <c r="M17" s="789">
        <f>AVERAGE(L17:L18)</f>
        <v>2.9229433259373171E-2</v>
      </c>
      <c r="N17" s="490">
        <v>15</v>
      </c>
      <c r="O17" s="79" t="s">
        <v>335</v>
      </c>
      <c r="P17" s="79">
        <v>22.918481826782227</v>
      </c>
      <c r="Q17" s="79">
        <f t="shared" si="2"/>
        <v>1.2613903815620412E-7</v>
      </c>
      <c r="R17" s="79" t="e">
        <f t="shared" si="18"/>
        <v>#VALUE!</v>
      </c>
      <c r="S17" s="789" t="e">
        <f>AVERAGE(R17:R18)</f>
        <v>#VALUE!</v>
      </c>
      <c r="T17" s="80" t="s">
        <v>358</v>
      </c>
      <c r="U17" s="79" t="s">
        <v>335</v>
      </c>
      <c r="V17" s="79">
        <v>19.599483489990234</v>
      </c>
      <c r="W17" s="79">
        <f t="shared" si="3"/>
        <v>1.258831407751699E-6</v>
      </c>
      <c r="X17" s="79">
        <f t="shared" si="16"/>
        <v>0.16439028126369878</v>
      </c>
      <c r="Y17" s="789">
        <f>AVERAGE(X17:X18)</f>
        <v>0.16719158466273804</v>
      </c>
      <c r="Z17" s="261" t="s">
        <v>386</v>
      </c>
      <c r="AA17" s="132" t="s">
        <v>335</v>
      </c>
      <c r="AB17" s="132">
        <v>26.017244338989258</v>
      </c>
      <c r="AC17" s="132">
        <f t="shared" si="4"/>
        <v>1.472410986972053E-8</v>
      </c>
      <c r="AD17" s="520">
        <f>AC17/$AC$5</f>
        <v>1.3289175676260454</v>
      </c>
      <c r="AE17" s="676">
        <f>AVERAGE(AD17:AD18)</f>
        <v>1.6381308090170452</v>
      </c>
      <c r="AF17" s="261" t="s">
        <v>392</v>
      </c>
      <c r="AG17" s="132" t="s">
        <v>335</v>
      </c>
      <c r="AH17" s="132">
        <v>27.901832580566406</v>
      </c>
      <c r="AI17" s="132">
        <f t="shared" si="5"/>
        <v>3.9875988240759621E-9</v>
      </c>
      <c r="AJ17" s="520">
        <f>AI17/AI5</f>
        <v>6.7910373257713319E-2</v>
      </c>
      <c r="AK17" s="676">
        <f>AVERAGE(AJ17:AJ18)</f>
        <v>7.8588451529255712E-2</v>
      </c>
      <c r="AL17" s="261" t="s">
        <v>399</v>
      </c>
      <c r="AM17" s="132" t="s">
        <v>335</v>
      </c>
      <c r="AN17" s="132">
        <v>29.370302200317383</v>
      </c>
      <c r="AO17" s="132">
        <f t="shared" si="6"/>
        <v>1.4409803414147646E-9</v>
      </c>
      <c r="AP17" s="520">
        <f t="shared" si="20"/>
        <v>5.5163747288310215E-2</v>
      </c>
      <c r="AQ17" s="676">
        <f>AVERAGE(AP17:AP18)</f>
        <v>7.2560130222977456E-2</v>
      </c>
      <c r="AR17" s="261" t="s">
        <v>405</v>
      </c>
      <c r="AS17" s="132" t="s">
        <v>335</v>
      </c>
      <c r="AT17" s="122">
        <v>26.33265495300293</v>
      </c>
      <c r="AU17" s="132">
        <f t="shared" si="7"/>
        <v>1.1832622074358398E-8</v>
      </c>
      <c r="AV17" s="79">
        <f t="shared" si="21"/>
        <v>8.9207187034816282E-2</v>
      </c>
      <c r="AW17" s="789">
        <f>AVERAGE(AV17:AV18)</f>
        <v>9.1019055327397402E-2</v>
      </c>
      <c r="AX17" s="261" t="s">
        <v>349</v>
      </c>
      <c r="AY17" s="132" t="s">
        <v>421</v>
      </c>
      <c r="AZ17" s="132">
        <v>30.914644241333008</v>
      </c>
      <c r="BA17" s="132">
        <f t="shared" si="8"/>
        <v>4.9404303166847586E-10</v>
      </c>
      <c r="BB17" s="520">
        <f t="shared" si="22"/>
        <v>9.7522971718677957E-4</v>
      </c>
      <c r="BC17" s="676">
        <f>AVERAGE(BB17:BB18)</f>
        <v>1.0254842579108157E-3</v>
      </c>
      <c r="BD17" s="261" t="s">
        <v>429</v>
      </c>
      <c r="BE17" s="132" t="s">
        <v>421</v>
      </c>
      <c r="BF17" s="132">
        <v>30.202217102050781</v>
      </c>
      <c r="BG17" s="132">
        <f t="shared" si="9"/>
        <v>8.0951838546349903E-10</v>
      </c>
      <c r="BH17" s="520">
        <f t="shared" si="23"/>
        <v>2.1469937952335637E-3</v>
      </c>
      <c r="BI17" s="676">
        <f>AVERAGE(BH17:BH18)</f>
        <v>2.0990850858192338E-3</v>
      </c>
      <c r="BJ17" s="261" t="s">
        <v>439</v>
      </c>
      <c r="BK17" s="132" t="s">
        <v>421</v>
      </c>
      <c r="BL17" s="132">
        <v>37.175754547119141</v>
      </c>
      <c r="BM17" s="132">
        <f t="shared" si="10"/>
        <v>6.4414370936160091E-12</v>
      </c>
      <c r="BN17" s="520">
        <f t="shared" si="24"/>
        <v>1.8096651579153711E-5</v>
      </c>
      <c r="BO17" s="676">
        <f>AVERAGE(BN17:BN18)</f>
        <v>1.0154438749134628E-3</v>
      </c>
      <c r="BP17" s="261" t="s">
        <v>358</v>
      </c>
      <c r="BQ17" s="132" t="s">
        <v>421</v>
      </c>
      <c r="BR17" s="132">
        <v>31.894132614135742</v>
      </c>
      <c r="BS17" s="132">
        <f t="shared" si="11"/>
        <v>2.5055864829080709E-10</v>
      </c>
      <c r="BT17" s="520">
        <f t="shared" si="25"/>
        <v>4.9954350557901189E-4</v>
      </c>
      <c r="BU17" s="676">
        <f>AVERAGE(BT17:BT18)</f>
        <v>5.7783290029460679E-4</v>
      </c>
      <c r="BV17" s="261" t="s">
        <v>389</v>
      </c>
      <c r="BW17" s="132" t="s">
        <v>421</v>
      </c>
      <c r="BX17" s="132" t="s">
        <v>333</v>
      </c>
      <c r="BY17" s="132" t="e">
        <f t="shared" si="12"/>
        <v>#VALUE!</v>
      </c>
      <c r="BZ17" s="520" t="e">
        <f t="shared" si="26"/>
        <v>#VALUE!</v>
      </c>
      <c r="CA17" s="676">
        <f>AVERAGE(BZ18)</f>
        <v>2.3176058833427019E-3</v>
      </c>
      <c r="CB17" s="261" t="s">
        <v>395</v>
      </c>
      <c r="CC17" s="132" t="s">
        <v>421</v>
      </c>
      <c r="CD17" s="132" t="s">
        <v>333</v>
      </c>
      <c r="CE17" s="132" t="e">
        <f t="shared" si="13"/>
        <v>#VALUE!</v>
      </c>
      <c r="CF17" s="520" t="e">
        <f t="shared" si="27"/>
        <v>#VALUE!</v>
      </c>
      <c r="CG17" s="676" t="e">
        <f>AVERAGE(CF18)</f>
        <v>#VALUE!</v>
      </c>
      <c r="CH17" s="261" t="s">
        <v>402</v>
      </c>
      <c r="CI17" s="132" t="s">
        <v>421</v>
      </c>
      <c r="CJ17" s="132">
        <v>28.796989440917969</v>
      </c>
      <c r="CK17" s="132">
        <f t="shared" si="14"/>
        <v>2.14408694986293E-9</v>
      </c>
      <c r="CL17" s="520">
        <f t="shared" si="28"/>
        <v>1.9279471372558799E-2</v>
      </c>
      <c r="CM17" s="676">
        <f>AVERAGE(CL17:CL18)</f>
        <v>1.7032453243918531E-2</v>
      </c>
    </row>
    <row r="18" spans="2:91" x14ac:dyDescent="0.25">
      <c r="B18" s="479" t="s">
        <v>349</v>
      </c>
      <c r="C18" s="132" t="s">
        <v>335</v>
      </c>
      <c r="D18" s="132">
        <v>18.017555236816406</v>
      </c>
      <c r="E18" s="122">
        <f t="shared" si="0"/>
        <v>3.7685599221909279E-6</v>
      </c>
      <c r="F18">
        <f t="shared" si="15"/>
        <v>3.300396361814045E-3</v>
      </c>
      <c r="G18" s="789"/>
      <c r="H18" s="479">
        <v>30</v>
      </c>
      <c r="I18" s="132" t="s">
        <v>335</v>
      </c>
      <c r="J18" s="132">
        <v>23.309011459350586</v>
      </c>
      <c r="K18" s="122">
        <f t="shared" si="1"/>
        <v>9.6225102295724748E-8</v>
      </c>
      <c r="L18">
        <f t="shared" si="17"/>
        <v>1.1646838715438547E-2</v>
      </c>
      <c r="M18" s="789"/>
      <c r="N18" s="490">
        <v>15</v>
      </c>
      <c r="O18" s="79" t="s">
        <v>335</v>
      </c>
      <c r="P18" s="79">
        <v>22.916786193847656</v>
      </c>
      <c r="Q18" s="79">
        <f t="shared" si="2"/>
        <v>1.2628737945004856E-7</v>
      </c>
      <c r="R18" s="79">
        <f t="shared" si="18"/>
        <v>0.1600675085190443</v>
      </c>
      <c r="S18" s="789"/>
      <c r="T18" s="80" t="s">
        <v>358</v>
      </c>
      <c r="U18" s="79" t="s">
        <v>335</v>
      </c>
      <c r="V18" s="79">
        <v>19.145866394042969</v>
      </c>
      <c r="W18" s="79">
        <f t="shared" si="3"/>
        <v>1.7239311712161613E-6</v>
      </c>
      <c r="X18" s="79">
        <f t="shared" si="16"/>
        <v>0.16999288806177726</v>
      </c>
      <c r="Y18" s="789"/>
      <c r="Z18" s="261" t="s">
        <v>386</v>
      </c>
      <c r="AA18" s="132" t="s">
        <v>335</v>
      </c>
      <c r="AB18" s="132">
        <v>25.697708129882813</v>
      </c>
      <c r="AC18" s="132">
        <f t="shared" si="4"/>
        <v>1.8374648209708504E-8</v>
      </c>
      <c r="AD18" s="520">
        <f>AC18/$AC$6</f>
        <v>1.947344050408045</v>
      </c>
      <c r="AE18" s="672"/>
      <c r="AF18" s="261" t="s">
        <v>392</v>
      </c>
      <c r="AG18" s="132" t="s">
        <v>335</v>
      </c>
      <c r="AH18" s="132">
        <v>28.032968521118164</v>
      </c>
      <c r="AI18" s="132">
        <f t="shared" si="5"/>
        <v>3.6411251601220424E-9</v>
      </c>
      <c r="AJ18" s="520">
        <f t="shared" si="19"/>
        <v>8.9266529800798106E-2</v>
      </c>
      <c r="AK18" s="672"/>
      <c r="AL18" s="261" t="s">
        <v>399</v>
      </c>
      <c r="AM18" s="132" t="s">
        <v>335</v>
      </c>
      <c r="AN18" s="132">
        <v>28.92640495300293</v>
      </c>
      <c r="AO18" s="132">
        <f t="shared" si="6"/>
        <v>1.9601280447000732E-9</v>
      </c>
      <c r="AP18" s="520">
        <f t="shared" si="20"/>
        <v>8.9956513157644691E-2</v>
      </c>
      <c r="AQ18" s="672"/>
      <c r="AR18" s="261" t="s">
        <v>405</v>
      </c>
      <c r="AS18" s="132" t="s">
        <v>335</v>
      </c>
      <c r="AT18" s="122">
        <v>26.799921035766602</v>
      </c>
      <c r="AU18" s="132">
        <f t="shared" si="7"/>
        <v>8.5589381261526311E-9</v>
      </c>
      <c r="AV18" s="79">
        <f t="shared" si="21"/>
        <v>9.2830923619978509E-2</v>
      </c>
      <c r="AW18" s="789"/>
      <c r="AX18" s="261" t="s">
        <v>349</v>
      </c>
      <c r="AY18" s="132" t="s">
        <v>421</v>
      </c>
      <c r="AZ18" s="132">
        <v>30.814353942871094</v>
      </c>
      <c r="BA18" s="132">
        <f t="shared" si="8"/>
        <v>5.2960876761562344E-10</v>
      </c>
      <c r="BB18" s="520">
        <f t="shared" si="22"/>
        <v>1.0757387986348515E-3</v>
      </c>
      <c r="BC18" s="672"/>
      <c r="BD18" s="261" t="s">
        <v>429</v>
      </c>
      <c r="BE18" s="132" t="s">
        <v>421</v>
      </c>
      <c r="BF18" s="132">
        <v>31.642543792724609</v>
      </c>
      <c r="BG18" s="132">
        <f t="shared" si="9"/>
        <v>2.9829445427755473E-10</v>
      </c>
      <c r="BH18" s="520">
        <f t="shared" si="23"/>
        <v>2.0511763764049038E-3</v>
      </c>
      <c r="BI18" s="672"/>
      <c r="BJ18" s="261" t="s">
        <v>439</v>
      </c>
      <c r="BK18" s="132" t="s">
        <v>421</v>
      </c>
      <c r="BL18" s="132">
        <v>30.834341049194336</v>
      </c>
      <c r="BM18" s="132">
        <f t="shared" si="10"/>
        <v>5.2232215529385498E-10</v>
      </c>
      <c r="BN18" s="520">
        <f t="shared" si="24"/>
        <v>2.0127910982477718E-3</v>
      </c>
      <c r="BO18" s="672"/>
      <c r="BP18" s="261" t="s">
        <v>358</v>
      </c>
      <c r="BQ18" s="132" t="s">
        <v>421</v>
      </c>
      <c r="BR18" s="132">
        <v>31.889490127563477</v>
      </c>
      <c r="BS18" s="132">
        <f t="shared" si="11"/>
        <v>2.5136622626592131E-10</v>
      </c>
      <c r="BT18" s="520">
        <f t="shared" si="25"/>
        <v>6.5612229501020168E-4</v>
      </c>
      <c r="BU18" s="672"/>
      <c r="BV18" s="261" t="s">
        <v>389</v>
      </c>
      <c r="BW18" s="132" t="s">
        <v>421</v>
      </c>
      <c r="BX18" s="132">
        <v>29.722578048706055</v>
      </c>
      <c r="BY18" s="132">
        <f t="shared" si="12"/>
        <v>1.1287881950221396E-9</v>
      </c>
      <c r="BZ18" s="520">
        <f t="shared" si="26"/>
        <v>2.3176058833427019E-3</v>
      </c>
      <c r="CA18" s="672"/>
      <c r="CB18" s="261" t="s">
        <v>395</v>
      </c>
      <c r="CC18" s="132" t="s">
        <v>421</v>
      </c>
      <c r="CD18" s="132" t="s">
        <v>333</v>
      </c>
      <c r="CE18" s="132" t="e">
        <f t="shared" si="13"/>
        <v>#VALUE!</v>
      </c>
      <c r="CF18" s="520" t="e">
        <f t="shared" si="27"/>
        <v>#VALUE!</v>
      </c>
      <c r="CG18" s="672"/>
      <c r="CH18" s="261" t="s">
        <v>402</v>
      </c>
      <c r="CI18" s="132" t="s">
        <v>421</v>
      </c>
      <c r="CJ18" s="132">
        <v>28.230199813842773</v>
      </c>
      <c r="CK18" s="132">
        <f t="shared" si="14"/>
        <v>3.1758726003404515E-9</v>
      </c>
      <c r="CL18" s="520">
        <f t="shared" si="28"/>
        <v>1.4785435115278264E-2</v>
      </c>
      <c r="CM18" s="672"/>
    </row>
    <row r="19" spans="2:91" x14ac:dyDescent="0.25">
      <c r="B19" s="479" t="s">
        <v>350</v>
      </c>
      <c r="C19" s="132" t="s">
        <v>335</v>
      </c>
      <c r="D19" s="132">
        <v>18.477291107177734</v>
      </c>
      <c r="E19" s="122">
        <f t="shared" si="0"/>
        <v>2.7401929089245671E-6</v>
      </c>
      <c r="F19">
        <f t="shared" si="15"/>
        <v>2.3412839296860356E-3</v>
      </c>
      <c r="G19" s="789">
        <f>AVERAGE(F19:F20)</f>
        <v>4.4604610595758518E-3</v>
      </c>
      <c r="H19" s="479">
        <v>28</v>
      </c>
      <c r="I19" s="132" t="s">
        <v>335</v>
      </c>
      <c r="J19" s="132">
        <v>21.91453742980957</v>
      </c>
      <c r="K19" s="122">
        <f t="shared" si="1"/>
        <v>2.5296876034300909E-7</v>
      </c>
      <c r="L19">
        <f t="shared" si="17"/>
        <v>1.7986237844989209E-2</v>
      </c>
      <c r="M19" s="789">
        <f>AVERAGE(L19:L20)</f>
        <v>1.8466375480245448E-2</v>
      </c>
      <c r="N19" s="490">
        <v>5</v>
      </c>
      <c r="O19" s="79" t="s">
        <v>335</v>
      </c>
      <c r="P19" s="79">
        <v>25.324485778808594</v>
      </c>
      <c r="Q19" s="79">
        <f t="shared" si="2"/>
        <v>2.3799627284383968E-8</v>
      </c>
      <c r="R19" s="79">
        <f t="shared" si="18"/>
        <v>2.9277636763282905E-2</v>
      </c>
      <c r="S19" s="789">
        <f>AVERAGE(R19:R20)</f>
        <v>3.077112790578776E-2</v>
      </c>
      <c r="T19" s="80" t="s">
        <v>359</v>
      </c>
      <c r="U19" s="79" t="s">
        <v>335</v>
      </c>
      <c r="V19" s="79">
        <v>22.943567276000977</v>
      </c>
      <c r="W19" s="79">
        <f t="shared" si="3"/>
        <v>1.2396470247204666E-7</v>
      </c>
      <c r="X19" s="79">
        <f t="shared" si="16"/>
        <v>1.3852701007746942E-2</v>
      </c>
      <c r="Y19" s="789" t="e">
        <f>AVERAGE(X19:X20)</f>
        <v>#VALUE!</v>
      </c>
      <c r="Z19" s="261" t="s">
        <v>387</v>
      </c>
      <c r="AA19" s="132" t="s">
        <v>335</v>
      </c>
      <c r="AB19" s="132">
        <v>22.885568618774414</v>
      </c>
      <c r="AC19" s="132">
        <f t="shared" si="4"/>
        <v>1.2904981251205578E-7</v>
      </c>
      <c r="AD19" s="520">
        <f>AC19/$AC$7</f>
        <v>1.2078967814399462</v>
      </c>
      <c r="AE19" s="672">
        <f>AVERAGE(AD19:AD20)</f>
        <v>1.2051873011571343</v>
      </c>
      <c r="AF19" s="261" t="s">
        <v>393</v>
      </c>
      <c r="AG19" s="132" t="s">
        <v>335</v>
      </c>
      <c r="AH19" s="132">
        <v>27.860054016113281</v>
      </c>
      <c r="AI19" s="132">
        <f t="shared" si="5"/>
        <v>4.1047627482227733E-9</v>
      </c>
      <c r="AJ19" s="520">
        <f t="shared" si="19"/>
        <v>5.9898649971773778E-2</v>
      </c>
      <c r="AK19" s="672">
        <f>AVERAGE(AJ19:AJ20)</f>
        <v>6.2457658937117869E-2</v>
      </c>
      <c r="AL19" s="261" t="s">
        <v>400</v>
      </c>
      <c r="AM19" s="132" t="s">
        <v>335</v>
      </c>
      <c r="AN19" s="132">
        <v>27.51434326171875</v>
      </c>
      <c r="AO19" s="132">
        <f t="shared" si="6"/>
        <v>5.2162376229170528E-9</v>
      </c>
      <c r="AP19" s="520">
        <f t="shared" si="20"/>
        <v>5.7783856491632597E-2</v>
      </c>
      <c r="AQ19" s="672">
        <f>AVERAGE(AP19:AP20)</f>
        <v>5.2750365964899251E-2</v>
      </c>
      <c r="AR19" s="261" t="s">
        <v>406</v>
      </c>
      <c r="AS19" s="132" t="s">
        <v>335</v>
      </c>
      <c r="AT19" s="122">
        <v>26.917118072509766</v>
      </c>
      <c r="AU19" s="132">
        <f t="shared" si="7"/>
        <v>7.8911457216665894E-9</v>
      </c>
      <c r="AV19" s="79">
        <f t="shared" si="21"/>
        <v>0.15519241730765945</v>
      </c>
      <c r="AW19" s="789">
        <f>AVERAGE(AV19:AV20)</f>
        <v>0.13846519369275792</v>
      </c>
      <c r="AX19" s="261" t="s">
        <v>350</v>
      </c>
      <c r="AY19" s="132" t="s">
        <v>421</v>
      </c>
      <c r="AZ19" s="132">
        <v>33.592784881591797</v>
      </c>
      <c r="BA19" s="132">
        <f t="shared" si="8"/>
        <v>7.7190545977196555E-11</v>
      </c>
      <c r="BB19" s="520">
        <f t="shared" si="22"/>
        <v>2.9488653857971388E-4</v>
      </c>
      <c r="BC19" s="672">
        <f>AVERAGE(BB19:BB20)</f>
        <v>2.5860253636547078E-4</v>
      </c>
      <c r="BD19" s="261" t="s">
        <v>430</v>
      </c>
      <c r="BE19" s="132" t="s">
        <v>421</v>
      </c>
      <c r="BF19" s="132">
        <v>30.342010498046875</v>
      </c>
      <c r="BG19" s="132">
        <f t="shared" si="9"/>
        <v>7.347586564258757E-10</v>
      </c>
      <c r="BH19" s="520">
        <f t="shared" si="23"/>
        <v>1.2814497028073028E-3</v>
      </c>
      <c r="BI19" s="672">
        <f>AVERAGE(BH19:BH20)</f>
        <v>1.3458311942551038E-3</v>
      </c>
      <c r="BJ19" s="261" t="s">
        <v>440</v>
      </c>
      <c r="BK19" s="132" t="s">
        <v>421</v>
      </c>
      <c r="BL19" s="132">
        <v>28.739633560180664</v>
      </c>
      <c r="BM19" s="132">
        <f t="shared" si="10"/>
        <v>2.2310445065085573E-9</v>
      </c>
      <c r="BN19" s="520">
        <f t="shared" si="24"/>
        <v>8.1456498431510434E-3</v>
      </c>
      <c r="BO19" s="672">
        <f>AVERAGE(BN19:BN20)</f>
        <v>9.0007939109012121E-3</v>
      </c>
      <c r="BP19" s="261" t="s">
        <v>359</v>
      </c>
      <c r="BQ19" s="132" t="s">
        <v>421</v>
      </c>
      <c r="BR19" s="132">
        <v>31.723171234130859</v>
      </c>
      <c r="BS19" s="132">
        <f t="shared" si="11"/>
        <v>2.8208104311143476E-10</v>
      </c>
      <c r="BT19" s="520">
        <f t="shared" si="25"/>
        <v>9.1649876854917414E-4</v>
      </c>
      <c r="BU19" s="672">
        <f>AVERAGE(BT19:BT20)</f>
        <v>8.6793292736407016E-4</v>
      </c>
      <c r="BV19" s="261" t="s">
        <v>390</v>
      </c>
      <c r="BW19" s="132" t="s">
        <v>421</v>
      </c>
      <c r="BX19" s="132" t="s">
        <v>333</v>
      </c>
      <c r="BY19" s="132" t="e">
        <f t="shared" si="12"/>
        <v>#VALUE!</v>
      </c>
      <c r="BZ19" s="520" t="e">
        <f t="shared" si="26"/>
        <v>#VALUE!</v>
      </c>
      <c r="CA19" s="672" t="e">
        <f>AVERAGE(BZ19:BZ20)</f>
        <v>#VALUE!</v>
      </c>
      <c r="CB19" s="261" t="s">
        <v>396</v>
      </c>
      <c r="CC19" s="132" t="s">
        <v>421</v>
      </c>
      <c r="CD19" s="132" t="s">
        <v>333</v>
      </c>
      <c r="CE19" s="132" t="e">
        <f t="shared" si="13"/>
        <v>#VALUE!</v>
      </c>
      <c r="CF19" s="520" t="e">
        <f t="shared" si="27"/>
        <v>#VALUE!</v>
      </c>
      <c r="CG19" s="672" t="e">
        <f>AVERAGE(CF19:CF20)</f>
        <v>#VALUE!</v>
      </c>
      <c r="CH19" s="261" t="s">
        <v>403</v>
      </c>
      <c r="CI19" s="132" t="s">
        <v>421</v>
      </c>
      <c r="CJ19" s="132">
        <v>28.544164657592773</v>
      </c>
      <c r="CK19" s="132">
        <f t="shared" si="14"/>
        <v>2.5547607595744475E-9</v>
      </c>
      <c r="CL19" s="520">
        <f t="shared" si="28"/>
        <v>0.14187324074726751</v>
      </c>
      <c r="CM19" s="672">
        <f>AVERAGE(CL19:CL20)</f>
        <v>0.11699594508328567</v>
      </c>
    </row>
    <row r="20" spans="2:91" x14ac:dyDescent="0.25">
      <c r="B20" s="479" t="s">
        <v>350</v>
      </c>
      <c r="C20" s="132" t="s">
        <v>335</v>
      </c>
      <c r="D20" s="132">
        <v>19.252662658691406</v>
      </c>
      <c r="E20" s="122">
        <f t="shared" si="0"/>
        <v>1.6009252091204039E-6</v>
      </c>
      <c r="F20">
        <f t="shared" si="15"/>
        <v>6.5796381894656676E-3</v>
      </c>
      <c r="G20" s="789"/>
      <c r="H20" s="479">
        <v>28</v>
      </c>
      <c r="I20" s="132" t="s">
        <v>335</v>
      </c>
      <c r="J20" s="132">
        <v>21.792510986328125</v>
      </c>
      <c r="K20" s="122">
        <f t="shared" si="1"/>
        <v>2.7529638734518584E-7</v>
      </c>
      <c r="L20">
        <f t="shared" si="17"/>
        <v>1.894651311550169E-2</v>
      </c>
      <c r="M20" s="789"/>
      <c r="N20" s="490">
        <v>5</v>
      </c>
      <c r="O20" s="79" t="s">
        <v>335</v>
      </c>
      <c r="P20" s="79">
        <v>25.488447189331055</v>
      </c>
      <c r="Q20" s="79">
        <f t="shared" si="2"/>
        <v>2.1242853455091787E-8</v>
      </c>
      <c r="R20" s="79">
        <f t="shared" si="18"/>
        <v>3.2264619048292614E-2</v>
      </c>
      <c r="S20" s="789"/>
      <c r="T20" s="257" t="s">
        <v>359</v>
      </c>
      <c r="U20" s="138" t="s">
        <v>335</v>
      </c>
      <c r="V20" s="138" t="s">
        <v>333</v>
      </c>
      <c r="W20" s="138" t="e">
        <f t="shared" si="3"/>
        <v>#VALUE!</v>
      </c>
      <c r="X20" s="138" t="e">
        <f t="shared" si="16"/>
        <v>#VALUE!</v>
      </c>
      <c r="Y20" s="794"/>
      <c r="Z20" s="261" t="s">
        <v>387</v>
      </c>
      <c r="AA20" s="132" t="s">
        <v>335</v>
      </c>
      <c r="AB20" s="132">
        <v>22.632320404052734</v>
      </c>
      <c r="AC20" s="132">
        <f t="shared" si="4"/>
        <v>1.5381287394889111E-7</v>
      </c>
      <c r="AD20" s="520">
        <f>AC20/$AC$8</f>
        <v>1.2024778208743223</v>
      </c>
      <c r="AE20" s="672"/>
      <c r="AF20" s="261" t="s">
        <v>393</v>
      </c>
      <c r="AG20" s="132" t="s">
        <v>335</v>
      </c>
      <c r="AH20" s="132">
        <v>28.08018684387207</v>
      </c>
      <c r="AI20" s="132">
        <f t="shared" si="5"/>
        <v>3.5238829644274768E-9</v>
      </c>
      <c r="AJ20" s="520">
        <f t="shared" si="19"/>
        <v>6.5016667902461966E-2</v>
      </c>
      <c r="AK20" s="672"/>
      <c r="AL20" s="261" t="s">
        <v>400</v>
      </c>
      <c r="AM20" s="132" t="s">
        <v>335</v>
      </c>
      <c r="AN20" s="132">
        <v>27.915119171142578</v>
      </c>
      <c r="AO20" s="132">
        <f t="shared" si="6"/>
        <v>3.9510433705420527E-9</v>
      </c>
      <c r="AP20" s="520">
        <f t="shared" si="20"/>
        <v>4.7716875438165905E-2</v>
      </c>
      <c r="AQ20" s="672"/>
      <c r="AR20" s="261" t="s">
        <v>406</v>
      </c>
      <c r="AS20" s="132" t="s">
        <v>335</v>
      </c>
      <c r="AT20" s="122">
        <v>25.939443588256836</v>
      </c>
      <c r="AU20" s="132">
        <f t="shared" si="7"/>
        <v>1.5539942556697171E-8</v>
      </c>
      <c r="AV20" s="79">
        <f t="shared" si="21"/>
        <v>0.1217379700778564</v>
      </c>
      <c r="AW20" s="789"/>
      <c r="AX20" s="261" t="s">
        <v>350</v>
      </c>
      <c r="AY20" s="132" t="s">
        <v>421</v>
      </c>
      <c r="AZ20" s="132">
        <v>34.160037994384766</v>
      </c>
      <c r="BA20" s="132">
        <f t="shared" si="8"/>
        <v>5.2095943836377882E-11</v>
      </c>
      <c r="BB20" s="520">
        <f t="shared" si="22"/>
        <v>2.2231853415122772E-4</v>
      </c>
      <c r="BC20" s="672"/>
      <c r="BD20" s="261" t="s">
        <v>430</v>
      </c>
      <c r="BE20" s="132" t="s">
        <v>421</v>
      </c>
      <c r="BF20" s="132">
        <v>31.668117523193359</v>
      </c>
      <c r="BG20" s="132">
        <f t="shared" si="9"/>
        <v>2.9305336955622547E-10</v>
      </c>
      <c r="BH20" s="520">
        <f t="shared" si="23"/>
        <v>1.4102126857029047E-3</v>
      </c>
      <c r="BI20" s="672"/>
      <c r="BJ20" s="261" t="s">
        <v>440</v>
      </c>
      <c r="BK20" s="132" t="s">
        <v>421</v>
      </c>
      <c r="BL20" s="132">
        <v>28.914093017578125</v>
      </c>
      <c r="BM20" s="132">
        <f t="shared" si="10"/>
        <v>1.9769273251860707E-9</v>
      </c>
      <c r="BN20" s="520">
        <f t="shared" si="24"/>
        <v>9.8559379786513808E-3</v>
      </c>
      <c r="BO20" s="672"/>
      <c r="BP20" s="261" t="s">
        <v>359</v>
      </c>
      <c r="BQ20" s="132" t="s">
        <v>421</v>
      </c>
      <c r="BR20" s="132">
        <v>32.577068328857422</v>
      </c>
      <c r="BS20" s="132">
        <f t="shared" si="11"/>
        <v>1.560720957716424E-10</v>
      </c>
      <c r="BT20" s="520">
        <f t="shared" si="25"/>
        <v>8.1936708617896619E-4</v>
      </c>
      <c r="BU20" s="672"/>
      <c r="BV20" s="261" t="s">
        <v>390</v>
      </c>
      <c r="BW20" s="132" t="s">
        <v>421</v>
      </c>
      <c r="BX20" s="132" t="s">
        <v>333</v>
      </c>
      <c r="BY20" s="132" t="e">
        <f t="shared" si="12"/>
        <v>#VALUE!</v>
      </c>
      <c r="BZ20" s="520" t="e">
        <f t="shared" si="26"/>
        <v>#VALUE!</v>
      </c>
      <c r="CA20" s="672"/>
      <c r="CB20" s="261" t="s">
        <v>396</v>
      </c>
      <c r="CC20" s="132" t="s">
        <v>421</v>
      </c>
      <c r="CD20" s="132" t="s">
        <v>333</v>
      </c>
      <c r="CE20" s="132" t="e">
        <f t="shared" si="13"/>
        <v>#VALUE!</v>
      </c>
      <c r="CF20" s="520" t="e">
        <f t="shared" si="27"/>
        <v>#VALUE!</v>
      </c>
      <c r="CG20" s="672"/>
      <c r="CH20" s="261" t="s">
        <v>403</v>
      </c>
      <c r="CI20" s="132" t="s">
        <v>421</v>
      </c>
      <c r="CJ20" s="132">
        <v>29.635210037231445</v>
      </c>
      <c r="CK20" s="132">
        <f t="shared" si="14"/>
        <v>1.1992586261614472E-9</v>
      </c>
      <c r="CL20" s="520">
        <f t="shared" si="28"/>
        <v>9.2118649419303825E-2</v>
      </c>
      <c r="CM20" s="672"/>
    </row>
    <row r="21" spans="2:91" x14ac:dyDescent="0.25">
      <c r="B21" s="479" t="s">
        <v>351</v>
      </c>
      <c r="C21" s="132" t="s">
        <v>335</v>
      </c>
      <c r="D21" s="132">
        <v>19.833459854125977</v>
      </c>
      <c r="E21" s="122">
        <f t="shared" si="0"/>
        <v>1.0703693537479886E-6</v>
      </c>
      <c r="F21">
        <f t="shared" si="15"/>
        <v>9.8212019908299562E-3</v>
      </c>
      <c r="G21" s="789">
        <f>AVERAGE(F21:F22)</f>
        <v>8.5061227900406298E-3</v>
      </c>
      <c r="H21" s="479" t="s">
        <v>334</v>
      </c>
      <c r="I21" s="132" t="s">
        <v>335</v>
      </c>
      <c r="J21" s="132">
        <v>24.190366744995117</v>
      </c>
      <c r="K21" s="122">
        <f t="shared" si="1"/>
        <v>5.2236491991461607E-8</v>
      </c>
      <c r="L21">
        <f t="shared" si="17"/>
        <v>9.2766885572123491E-3</v>
      </c>
      <c r="M21" s="789">
        <f>AVERAGE(L21:L22)</f>
        <v>1.0225156607089531E-2</v>
      </c>
      <c r="N21" s="490">
        <v>18</v>
      </c>
      <c r="O21" s="79" t="s">
        <v>335</v>
      </c>
      <c r="P21" s="79">
        <v>23.326353073120117</v>
      </c>
      <c r="Q21" s="79">
        <f t="shared" si="2"/>
        <v>9.507537248110207E-8</v>
      </c>
      <c r="R21" s="79">
        <f t="shared" si="18"/>
        <v>9.3981091136881745E-2</v>
      </c>
      <c r="S21" s="789">
        <f>AVERAGE(R21:R22)</f>
        <v>9.2839840721293088E-2</v>
      </c>
      <c r="T21" s="496" t="s">
        <v>360</v>
      </c>
      <c r="U21" s="274" t="s">
        <v>360</v>
      </c>
      <c r="V21" s="274" t="s">
        <v>360</v>
      </c>
      <c r="W21" s="274"/>
      <c r="X21" s="274"/>
      <c r="Y21" s="484"/>
      <c r="Z21" s="261" t="s">
        <v>388</v>
      </c>
      <c r="AA21" s="132" t="s">
        <v>335</v>
      </c>
      <c r="AB21" s="132">
        <v>22.874410629272461</v>
      </c>
      <c r="AC21" s="132">
        <f t="shared" si="4"/>
        <v>1.3005177004470851E-7</v>
      </c>
      <c r="AD21" s="520">
        <f>AC21/$AC$9</f>
        <v>6.0927672363369716</v>
      </c>
      <c r="AE21" s="672">
        <f>AVERAGE(AD21:AD22)</f>
        <v>6.2615780986943346</v>
      </c>
      <c r="AF21" s="261" t="s">
        <v>394</v>
      </c>
      <c r="AG21" s="132" t="s">
        <v>335</v>
      </c>
      <c r="AH21" s="132">
        <v>29.061794281005859</v>
      </c>
      <c r="AI21" s="132">
        <f t="shared" si="5"/>
        <v>1.7845478343527192E-9</v>
      </c>
      <c r="AJ21" s="520">
        <f t="shared" si="19"/>
        <v>7.2627202657504983E-2</v>
      </c>
      <c r="AK21" s="672">
        <f>AVERAGE(AJ21:AJ22)</f>
        <v>7.0329400283496241E-2</v>
      </c>
      <c r="AL21" s="261" t="s">
        <v>401</v>
      </c>
      <c r="AM21" s="132" t="s">
        <v>335</v>
      </c>
      <c r="AN21" s="132">
        <v>28.778390884399414</v>
      </c>
      <c r="AO21" s="132">
        <f t="shared" si="6"/>
        <v>2.1719064589726017E-9</v>
      </c>
      <c r="AP21" s="520">
        <f t="shared" si="20"/>
        <v>8.25141553615516E-2</v>
      </c>
      <c r="AQ21" s="672">
        <f>AVERAGE(AP21:AP22)</f>
        <v>8.2559670881408628E-2</v>
      </c>
      <c r="AR21" s="261" t="s">
        <v>407</v>
      </c>
      <c r="AS21" s="132" t="s">
        <v>335</v>
      </c>
      <c r="AT21" s="122">
        <v>25.942487716674805</v>
      </c>
      <c r="AU21" s="132">
        <f t="shared" si="7"/>
        <v>1.5507187396097899E-8</v>
      </c>
      <c r="AV21" s="79">
        <f t="shared" si="21"/>
        <v>7.7552826113233081E-2</v>
      </c>
      <c r="AW21" s="789">
        <f>AVERAGE(AV21:AV22)</f>
        <v>9.0227830378267523E-2</v>
      </c>
      <c r="AX21" s="261" t="s">
        <v>351</v>
      </c>
      <c r="AY21" s="132" t="s">
        <v>421</v>
      </c>
      <c r="AZ21" s="132">
        <v>33.293846130371094</v>
      </c>
      <c r="BA21" s="132">
        <f t="shared" si="8"/>
        <v>9.4962828935080616E-11</v>
      </c>
      <c r="BB21" s="520">
        <f t="shared" si="22"/>
        <v>6.5923596883100575E-4</v>
      </c>
      <c r="BC21" s="672">
        <f>BB21</f>
        <v>6.5923596883100575E-4</v>
      </c>
      <c r="BD21" s="261" t="s">
        <v>334</v>
      </c>
      <c r="BE21" s="132" t="s">
        <v>421</v>
      </c>
      <c r="BF21" s="132">
        <v>28.654758453369141</v>
      </c>
      <c r="BG21" s="132">
        <f t="shared" si="9"/>
        <v>2.3662367060329674E-9</v>
      </c>
      <c r="BH21" s="520">
        <f t="shared" si="23"/>
        <v>9.5063785837081905E-3</v>
      </c>
      <c r="BI21" s="672">
        <f>AVERAGE(BH21:BH22)</f>
        <v>7.4835348251753205E-3</v>
      </c>
      <c r="BJ21" s="261" t="s">
        <v>441</v>
      </c>
      <c r="BK21" s="132" t="s">
        <v>421</v>
      </c>
      <c r="BL21" s="132">
        <v>28.284486770629883</v>
      </c>
      <c r="BM21" s="132">
        <f t="shared" si="10"/>
        <v>3.0585886323285037E-9</v>
      </c>
      <c r="BN21" s="520">
        <f t="shared" si="24"/>
        <v>6.292075816670184E-3</v>
      </c>
      <c r="BO21" s="672">
        <f>AVERAGE(BN21:BN22)</f>
        <v>5.0064626120087559E-3</v>
      </c>
      <c r="BP21" s="261" t="s">
        <v>386</v>
      </c>
      <c r="BQ21" s="132" t="s">
        <v>421</v>
      </c>
      <c r="BR21" s="132" t="s">
        <v>333</v>
      </c>
      <c r="BS21" s="132" t="e">
        <f t="shared" si="11"/>
        <v>#VALUE!</v>
      </c>
      <c r="BT21" s="520" t="e">
        <f t="shared" si="25"/>
        <v>#VALUE!</v>
      </c>
      <c r="BU21" s="672" t="e">
        <f>BT21</f>
        <v>#VALUE!</v>
      </c>
      <c r="BV21" s="261" t="s">
        <v>392</v>
      </c>
      <c r="BW21" s="132" t="s">
        <v>421</v>
      </c>
      <c r="BX21" s="132" t="s">
        <v>333</v>
      </c>
      <c r="BY21" s="132" t="e">
        <f t="shared" si="12"/>
        <v>#VALUE!</v>
      </c>
      <c r="BZ21" s="520" t="e">
        <f t="shared" si="26"/>
        <v>#VALUE!</v>
      </c>
      <c r="CA21" s="672">
        <f>AVERAGE(BZ22)</f>
        <v>5.2441514355288364E-6</v>
      </c>
      <c r="CB21" s="261" t="s">
        <v>399</v>
      </c>
      <c r="CC21" s="132" t="s">
        <v>421</v>
      </c>
      <c r="CD21" s="132">
        <v>33.931869506835938</v>
      </c>
      <c r="CE21" s="132">
        <f t="shared" si="13"/>
        <v>6.1022426011133351E-11</v>
      </c>
      <c r="CF21" s="520">
        <f t="shared" si="27"/>
        <v>5.5483017468878527E-5</v>
      </c>
      <c r="CG21" s="672">
        <f>AVERAGE(CF21)</f>
        <v>5.5483017468878527E-5</v>
      </c>
      <c r="CH21" s="261" t="s">
        <v>405</v>
      </c>
      <c r="CI21" s="132" t="s">
        <v>421</v>
      </c>
      <c r="CJ21" s="132" t="s">
        <v>333</v>
      </c>
      <c r="CK21" s="132" t="e">
        <f t="shared" si="14"/>
        <v>#VALUE!</v>
      </c>
      <c r="CL21" s="520" t="e">
        <f t="shared" si="28"/>
        <v>#VALUE!</v>
      </c>
      <c r="CM21" s="672">
        <f>AVERAGE(CL22)</f>
        <v>7.0495071674907093E-5</v>
      </c>
    </row>
    <row r="22" spans="2:91" x14ac:dyDescent="0.25">
      <c r="B22" s="479" t="s">
        <v>351</v>
      </c>
      <c r="C22" s="132" t="s">
        <v>335</v>
      </c>
      <c r="D22" s="132">
        <v>19.659212112426758</v>
      </c>
      <c r="E22" s="122">
        <f t="shared" si="0"/>
        <v>1.2077789691410449E-6</v>
      </c>
      <c r="F22">
        <f t="shared" si="15"/>
        <v>7.1910435892513025E-3</v>
      </c>
      <c r="G22" s="789"/>
      <c r="H22" s="479" t="s">
        <v>334</v>
      </c>
      <c r="I22" s="132" t="s">
        <v>335</v>
      </c>
      <c r="J22" s="132">
        <v>23.725069046020508</v>
      </c>
      <c r="K22" s="122">
        <f t="shared" si="1"/>
        <v>7.2117816295148027E-8</v>
      </c>
      <c r="L22">
        <f t="shared" si="17"/>
        <v>1.1173624656966712E-2</v>
      </c>
      <c r="M22" s="789"/>
      <c r="N22" s="490">
        <v>18</v>
      </c>
      <c r="O22" s="79" t="s">
        <v>335</v>
      </c>
      <c r="P22" s="79">
        <v>23.332818984985352</v>
      </c>
      <c r="Q22" s="79">
        <f t="shared" si="2"/>
        <v>9.4650214414003711E-8</v>
      </c>
      <c r="R22" s="79">
        <f t="shared" si="18"/>
        <v>9.169859030570443E-2</v>
      </c>
      <c r="S22" s="789"/>
      <c r="T22" s="496" t="s">
        <v>360</v>
      </c>
      <c r="U22" s="274" t="s">
        <v>360</v>
      </c>
      <c r="V22" s="274" t="s">
        <v>360</v>
      </c>
      <c r="W22" s="274"/>
      <c r="X22" s="274"/>
      <c r="Y22" s="484"/>
      <c r="Z22" s="261" t="s">
        <v>388</v>
      </c>
      <c r="AA22" s="132" t="s">
        <v>335</v>
      </c>
      <c r="AB22" s="132">
        <v>22.877889633178711</v>
      </c>
      <c r="AC22" s="132">
        <f t="shared" si="4"/>
        <v>1.2973853300724583E-7</v>
      </c>
      <c r="AD22" s="520">
        <f>AC22/$AC$10</f>
        <v>6.4303889610516967</v>
      </c>
      <c r="AE22" s="672"/>
      <c r="AF22" s="261" t="s">
        <v>394</v>
      </c>
      <c r="AG22" s="132" t="s">
        <v>335</v>
      </c>
      <c r="AH22" s="132">
        <v>29.91816520690918</v>
      </c>
      <c r="AI22" s="132">
        <f t="shared" si="5"/>
        <v>9.8567753276362967E-10</v>
      </c>
      <c r="AJ22" s="520">
        <f t="shared" si="19"/>
        <v>6.8031597909487498E-2</v>
      </c>
      <c r="AK22" s="672"/>
      <c r="AL22" s="261" t="s">
        <v>401</v>
      </c>
      <c r="AM22" s="132" t="s">
        <v>335</v>
      </c>
      <c r="AN22" s="132">
        <v>29.485239028930664</v>
      </c>
      <c r="AO22" s="132">
        <f t="shared" si="6"/>
        <v>1.3306340206587376E-9</v>
      </c>
      <c r="AP22" s="520">
        <f t="shared" si="20"/>
        <v>8.2605186401265657E-2</v>
      </c>
      <c r="AQ22" s="672"/>
      <c r="AR22" s="261" t="s">
        <v>407</v>
      </c>
      <c r="AS22" s="132" t="s">
        <v>335</v>
      </c>
      <c r="AT22" s="122">
        <v>26.203145980834961</v>
      </c>
      <c r="AU22" s="132">
        <f t="shared" si="7"/>
        <v>1.2943957520629912E-8</v>
      </c>
      <c r="AV22" s="79">
        <f t="shared" si="21"/>
        <v>0.10290283464330197</v>
      </c>
      <c r="AW22" s="789"/>
      <c r="AX22" s="261" t="s">
        <v>351</v>
      </c>
      <c r="AY22" s="132" t="s">
        <v>421</v>
      </c>
      <c r="AZ22" s="132" t="s">
        <v>333</v>
      </c>
      <c r="BA22" s="132" t="e">
        <f t="shared" si="8"/>
        <v>#VALUE!</v>
      </c>
      <c r="BB22" s="520" t="e">
        <f t="shared" si="22"/>
        <v>#VALUE!</v>
      </c>
      <c r="BC22" s="672"/>
      <c r="BD22" s="261" t="s">
        <v>334</v>
      </c>
      <c r="BE22" s="132" t="s">
        <v>421</v>
      </c>
      <c r="BF22" s="132">
        <v>29.966838836669922</v>
      </c>
      <c r="BG22" s="132">
        <f t="shared" si="9"/>
        <v>9.5297747357846755E-10</v>
      </c>
      <c r="BH22" s="520">
        <f t="shared" si="23"/>
        <v>5.4606910666424495E-3</v>
      </c>
      <c r="BI22" s="672"/>
      <c r="BJ22" s="261" t="s">
        <v>441</v>
      </c>
      <c r="BK22" s="132" t="s">
        <v>421</v>
      </c>
      <c r="BL22" s="132">
        <v>30.005233764648438</v>
      </c>
      <c r="BM22" s="132">
        <f t="shared" si="10"/>
        <v>9.2795007228368684E-10</v>
      </c>
      <c r="BN22" s="520">
        <f t="shared" si="24"/>
        <v>3.7208494073473273E-3</v>
      </c>
      <c r="BO22" s="672"/>
      <c r="BP22" s="261" t="s">
        <v>386</v>
      </c>
      <c r="BQ22" s="132" t="s">
        <v>421</v>
      </c>
      <c r="BR22" s="132" t="s">
        <v>333</v>
      </c>
      <c r="BS22" s="132" t="e">
        <f t="shared" si="11"/>
        <v>#VALUE!</v>
      </c>
      <c r="BT22" s="520" t="e">
        <f t="shared" si="25"/>
        <v>#VALUE!</v>
      </c>
      <c r="BU22" s="672"/>
      <c r="BV22" s="261" t="s">
        <v>392</v>
      </c>
      <c r="BW22" s="132" t="s">
        <v>421</v>
      </c>
      <c r="BX22" s="132">
        <v>37.233425140380859</v>
      </c>
      <c r="BY22" s="132">
        <f t="shared" si="12"/>
        <v>6.1890243508327026E-12</v>
      </c>
      <c r="BZ22" s="520">
        <f t="shared" si="26"/>
        <v>5.2441514355288364E-6</v>
      </c>
      <c r="CA22" s="672"/>
      <c r="CB22" s="261" t="s">
        <v>399</v>
      </c>
      <c r="CC22" s="132" t="s">
        <v>421</v>
      </c>
      <c r="CD22" s="132" t="s">
        <v>333</v>
      </c>
      <c r="CE22" s="132" t="e">
        <f t="shared" si="13"/>
        <v>#VALUE!</v>
      </c>
      <c r="CF22" s="520" t="e">
        <f t="shared" si="27"/>
        <v>#VALUE!</v>
      </c>
      <c r="CG22" s="672"/>
      <c r="CH22" s="261" t="s">
        <v>405</v>
      </c>
      <c r="CI22" s="132" t="s">
        <v>421</v>
      </c>
      <c r="CJ22" s="132">
        <v>37.313831329345703</v>
      </c>
      <c r="CK22" s="132">
        <f t="shared" si="14"/>
        <v>5.8535255281386834E-12</v>
      </c>
      <c r="CL22" s="520">
        <f t="shared" si="28"/>
        <v>7.0495071674907093E-5</v>
      </c>
      <c r="CM22" s="672"/>
    </row>
    <row r="23" spans="2:91" x14ac:dyDescent="0.25">
      <c r="B23" s="479" t="s">
        <v>352</v>
      </c>
      <c r="C23" s="132" t="s">
        <v>335</v>
      </c>
      <c r="D23" s="132">
        <v>18.462156295776367</v>
      </c>
      <c r="E23" s="122">
        <f t="shared" si="0"/>
        <v>2.7690906316867107E-6</v>
      </c>
      <c r="F23">
        <f t="shared" si="15"/>
        <v>8.3717878761346599E-3</v>
      </c>
      <c r="G23" s="789" t="e">
        <f>AVERAGE(F23:F24)</f>
        <v>#VALUE!</v>
      </c>
      <c r="H23" s="479">
        <v>19</v>
      </c>
      <c r="I23" s="132" t="s">
        <v>335</v>
      </c>
      <c r="J23" s="132">
        <v>24.086275100708008</v>
      </c>
      <c r="K23" s="122">
        <f t="shared" si="1"/>
        <v>5.6144692925584346E-8</v>
      </c>
      <c r="L23">
        <f t="shared" si="17"/>
        <v>8.9389001629803962E-3</v>
      </c>
      <c r="M23" s="789">
        <f>AVERAGE(L23:L24)</f>
        <v>8.4597056560715041E-3</v>
      </c>
      <c r="N23" s="490">
        <v>4</v>
      </c>
      <c r="O23" s="79" t="s">
        <v>335</v>
      </c>
      <c r="P23" s="79">
        <v>24.144672393798828</v>
      </c>
      <c r="Q23" s="79">
        <f t="shared" si="2"/>
        <v>5.3917453690128578E-8</v>
      </c>
      <c r="R23" s="79">
        <f t="shared" si="18"/>
        <v>2.3011918649790804E-2</v>
      </c>
      <c r="S23" s="789">
        <f>AVERAGE(R23:R24)</f>
        <v>4.8912681826186549E-2</v>
      </c>
      <c r="T23" s="496" t="s">
        <v>360</v>
      </c>
      <c r="U23" s="274" t="s">
        <v>360</v>
      </c>
      <c r="V23" s="274" t="s">
        <v>360</v>
      </c>
      <c r="W23" s="274"/>
      <c r="X23" s="274"/>
      <c r="Y23" s="484"/>
      <c r="Z23" s="261" t="s">
        <v>389</v>
      </c>
      <c r="AA23" s="132" t="s">
        <v>335</v>
      </c>
      <c r="AB23" s="132" t="s">
        <v>333</v>
      </c>
      <c r="AC23" s="132" t="e">
        <f t="shared" si="4"/>
        <v>#VALUE!</v>
      </c>
      <c r="AD23" s="520" t="e">
        <f>AC23/$AC$11</f>
        <v>#VALUE!</v>
      </c>
      <c r="AE23" s="672" t="e">
        <f>AVERAGE(AD23:AD24)</f>
        <v>#VALUE!</v>
      </c>
      <c r="AF23" s="261" t="s">
        <v>395</v>
      </c>
      <c r="AG23" s="132" t="s">
        <v>335</v>
      </c>
      <c r="AH23" s="132">
        <v>27.949209213256836</v>
      </c>
      <c r="AI23" s="132">
        <f t="shared" si="5"/>
        <v>3.8587769151188193E-9</v>
      </c>
      <c r="AJ23" s="520">
        <f t="shared" si="19"/>
        <v>0.12268461740181601</v>
      </c>
      <c r="AK23" s="672">
        <f>AVERAGE(AJ23:AJ24)</f>
        <v>0.11825743358702628</v>
      </c>
      <c r="AL23" s="261" t="s">
        <v>402</v>
      </c>
      <c r="AM23" s="132" t="s">
        <v>335</v>
      </c>
      <c r="AN23" s="132">
        <v>25.581729888916016</v>
      </c>
      <c r="AO23" s="132">
        <f t="shared" si="6"/>
        <v>1.9912783065408273E-8</v>
      </c>
      <c r="AP23" s="520">
        <f t="shared" si="20"/>
        <v>7.907455686459626E-2</v>
      </c>
      <c r="AQ23" s="672">
        <f>AVERAGE(AP23:AP24)</f>
        <v>8.1296196662078407E-2</v>
      </c>
      <c r="AR23" s="525" t="s">
        <v>360</v>
      </c>
      <c r="AS23" s="396" t="s">
        <v>360</v>
      </c>
      <c r="AT23" s="526" t="s">
        <v>360</v>
      </c>
      <c r="AU23" s="396"/>
      <c r="AV23" s="498"/>
      <c r="AW23" s="871"/>
      <c r="AX23" s="261" t="s">
        <v>352</v>
      </c>
      <c r="AY23" s="132" t="s">
        <v>421</v>
      </c>
      <c r="AZ23" s="132">
        <v>33.627979278564453</v>
      </c>
      <c r="BA23" s="132">
        <f t="shared" si="8"/>
        <v>7.5330273390070404E-11</v>
      </c>
      <c r="BB23" s="520">
        <f t="shared" si="22"/>
        <v>1.5026703083637855E-4</v>
      </c>
      <c r="BC23" s="672">
        <f>AVERAGE(BB23:BB24)</f>
        <v>2.1490579689475471E-4</v>
      </c>
      <c r="BD23" s="261" t="s">
        <v>431</v>
      </c>
      <c r="BE23" s="132" t="s">
        <v>421</v>
      </c>
      <c r="BF23" s="132">
        <v>29.442136764526367</v>
      </c>
      <c r="BG23" s="132">
        <f t="shared" si="9"/>
        <v>1.3709881386727097E-9</v>
      </c>
      <c r="BH23" s="520">
        <f t="shared" si="23"/>
        <v>8.3836779356814221E-3</v>
      </c>
      <c r="BI23" s="672">
        <f>AVERAGE(BH23:BH24)</f>
        <v>9.0016301368748379E-3</v>
      </c>
      <c r="BJ23" s="261" t="s">
        <v>442</v>
      </c>
      <c r="BK23" s="132" t="s">
        <v>421</v>
      </c>
      <c r="BL23" s="132">
        <v>27.521341323852539</v>
      </c>
      <c r="BM23" s="132">
        <f t="shared" si="10"/>
        <v>5.1909965544490411E-9</v>
      </c>
      <c r="BN23" s="520">
        <f t="shared" si="24"/>
        <v>1.3767928225706506E-2</v>
      </c>
      <c r="BO23" s="672">
        <f>AVERAGE(BN23:BN24)</f>
        <v>1.6751766775366855E-2</v>
      </c>
      <c r="BP23" s="261" t="s">
        <v>387</v>
      </c>
      <c r="BQ23" s="132" t="s">
        <v>421</v>
      </c>
      <c r="BR23" s="132" t="s">
        <v>333</v>
      </c>
      <c r="BS23" s="132" t="e">
        <f t="shared" si="11"/>
        <v>#VALUE!</v>
      </c>
      <c r="BT23" s="520" t="e">
        <f t="shared" si="25"/>
        <v>#VALUE!</v>
      </c>
      <c r="BU23" s="672">
        <f>AVERAGE(BT24)</f>
        <v>7.2449026333651747E-4</v>
      </c>
      <c r="BV23" s="261" t="s">
        <v>393</v>
      </c>
      <c r="BW23" s="132" t="s">
        <v>421</v>
      </c>
      <c r="BX23" s="132">
        <v>28.524497985839844</v>
      </c>
      <c r="BY23" s="132">
        <f t="shared" si="12"/>
        <v>2.5898254540289889E-9</v>
      </c>
      <c r="BZ23" s="520">
        <f t="shared" si="26"/>
        <v>1.1650134918308401E-3</v>
      </c>
      <c r="CA23" s="672">
        <f>AVERAGE(BZ24)</f>
        <v>5.2572570635379598E-4</v>
      </c>
      <c r="CB23" s="261" t="s">
        <v>400</v>
      </c>
      <c r="CC23" s="132" t="s">
        <v>421</v>
      </c>
      <c r="CD23" s="132">
        <v>34.223617553710938</v>
      </c>
      <c r="CE23" s="132">
        <f t="shared" si="13"/>
        <v>4.9849930389713576E-11</v>
      </c>
      <c r="CF23" s="520">
        <f t="shared" si="27"/>
        <v>2.0908107346300201E-5</v>
      </c>
      <c r="CG23" s="672">
        <f>AVERAGE(CF23)</f>
        <v>2.0908107346300201E-5</v>
      </c>
      <c r="CH23" s="261" t="s">
        <v>406</v>
      </c>
      <c r="CI23" s="132" t="s">
        <v>421</v>
      </c>
      <c r="CJ23" s="132">
        <v>28.804904937744141</v>
      </c>
      <c r="CK23" s="132">
        <f t="shared" si="14"/>
        <v>2.1323554057670851E-9</v>
      </c>
      <c r="CL23" s="520">
        <f t="shared" si="28"/>
        <v>1.701487146996214E-2</v>
      </c>
      <c r="CM23" s="672">
        <f>AVERAGE(CL23:CL24)</f>
        <v>24654.508427383898</v>
      </c>
    </row>
    <row r="24" spans="2:91" x14ac:dyDescent="0.25">
      <c r="B24" s="479" t="s">
        <v>352</v>
      </c>
      <c r="C24" s="132" t="s">
        <v>335</v>
      </c>
      <c r="D24" s="132" t="s">
        <v>333</v>
      </c>
      <c r="E24" s="122" t="e">
        <f t="shared" si="0"/>
        <v>#VALUE!</v>
      </c>
      <c r="F24" t="e">
        <f t="shared" si="15"/>
        <v>#VALUE!</v>
      </c>
      <c r="G24" s="789"/>
      <c r="H24" s="479">
        <v>19</v>
      </c>
      <c r="I24" s="132" t="s">
        <v>335</v>
      </c>
      <c r="J24" s="132">
        <v>24.144271850585938</v>
      </c>
      <c r="K24" s="122">
        <f t="shared" si="1"/>
        <v>5.3932425162090405E-8</v>
      </c>
      <c r="L24">
        <f t="shared" si="17"/>
        <v>7.980511149162612E-3</v>
      </c>
      <c r="M24" s="789"/>
      <c r="N24" s="490">
        <v>4</v>
      </c>
      <c r="O24" s="79" t="s">
        <v>335</v>
      </c>
      <c r="P24" s="79">
        <v>24.020624160766602</v>
      </c>
      <c r="Q24" s="79">
        <f t="shared" si="2"/>
        <v>5.8758623464128817E-8</v>
      </c>
      <c r="R24" s="79">
        <f t="shared" si="18"/>
        <v>7.4813445002582302E-2</v>
      </c>
      <c r="S24" s="789"/>
      <c r="T24" s="496" t="s">
        <v>360</v>
      </c>
      <c r="U24" s="274" t="s">
        <v>360</v>
      </c>
      <c r="V24" s="274" t="s">
        <v>360</v>
      </c>
      <c r="W24" s="274"/>
      <c r="X24" s="274"/>
      <c r="Y24" s="484"/>
      <c r="Z24" s="261" t="s">
        <v>389</v>
      </c>
      <c r="AA24" s="132" t="s">
        <v>335</v>
      </c>
      <c r="AB24" s="132" t="s">
        <v>333</v>
      </c>
      <c r="AC24" s="132" t="e">
        <f t="shared" si="4"/>
        <v>#VALUE!</v>
      </c>
      <c r="AD24" s="520" t="e">
        <f>AC24/$AC$12</f>
        <v>#VALUE!</v>
      </c>
      <c r="AE24" s="672"/>
      <c r="AF24" s="261" t="s">
        <v>395</v>
      </c>
      <c r="AG24" s="132" t="s">
        <v>335</v>
      </c>
      <c r="AH24" s="132">
        <v>27.910102844238281</v>
      </c>
      <c r="AI24" s="132">
        <f t="shared" si="5"/>
        <v>3.964805268714615E-9</v>
      </c>
      <c r="AJ24" s="520">
        <f t="shared" si="19"/>
        <v>0.11383024977223656</v>
      </c>
      <c r="AK24" s="672"/>
      <c r="AL24" s="261" t="s">
        <v>402</v>
      </c>
      <c r="AM24" s="132" t="s">
        <v>335</v>
      </c>
      <c r="AN24" s="132">
        <v>25.722192764282227</v>
      </c>
      <c r="AO24" s="132">
        <f t="shared" si="6"/>
        <v>1.8065435009808059E-8</v>
      </c>
      <c r="AP24" s="520">
        <f t="shared" si="20"/>
        <v>8.3517836459560568E-2</v>
      </c>
      <c r="AQ24" s="672"/>
      <c r="AR24" s="523" t="s">
        <v>360</v>
      </c>
      <c r="AS24" s="272" t="s">
        <v>360</v>
      </c>
      <c r="AT24" s="527" t="s">
        <v>360</v>
      </c>
      <c r="AU24" s="272"/>
      <c r="AV24" s="274"/>
      <c r="AW24" s="872"/>
      <c r="AX24" s="261" t="s">
        <v>352</v>
      </c>
      <c r="AY24" s="132" t="s">
        <v>421</v>
      </c>
      <c r="AZ24" s="132">
        <v>32.725418090820313</v>
      </c>
      <c r="BA24" s="132">
        <f t="shared" si="8"/>
        <v>1.4082103567013615E-10</v>
      </c>
      <c r="BB24" s="520">
        <f t="shared" si="22"/>
        <v>2.7954456295313089E-4</v>
      </c>
      <c r="BC24" s="672"/>
      <c r="BD24" s="261" t="s">
        <v>431</v>
      </c>
      <c r="BE24" s="132" t="s">
        <v>421</v>
      </c>
      <c r="BF24" s="132">
        <v>28.985986709594727</v>
      </c>
      <c r="BG24" s="132">
        <f t="shared" si="9"/>
        <v>1.8808256828737427E-9</v>
      </c>
      <c r="BH24" s="520">
        <f t="shared" si="23"/>
        <v>9.619582338068252E-3</v>
      </c>
      <c r="BI24" s="672"/>
      <c r="BJ24" s="261" t="s">
        <v>442</v>
      </c>
      <c r="BK24" s="132" t="s">
        <v>421</v>
      </c>
      <c r="BL24" s="132">
        <v>27.639961242675781</v>
      </c>
      <c r="BM24" s="132">
        <f t="shared" si="10"/>
        <v>4.7812624896301918E-9</v>
      </c>
      <c r="BN24" s="520">
        <f t="shared" si="24"/>
        <v>1.9735605325027206E-2</v>
      </c>
      <c r="BO24" s="672"/>
      <c r="BP24" s="261" t="s">
        <v>387</v>
      </c>
      <c r="BQ24" s="132" t="s">
        <v>421</v>
      </c>
      <c r="BR24" s="132">
        <v>34.363727569580078</v>
      </c>
      <c r="BS24" s="132">
        <f t="shared" si="11"/>
        <v>4.5236316993962832E-11</v>
      </c>
      <c r="BT24" s="520">
        <f t="shared" si="25"/>
        <v>7.2449026333651747E-4</v>
      </c>
      <c r="BU24" s="672"/>
      <c r="BV24" s="261" t="s">
        <v>393</v>
      </c>
      <c r="BW24" s="132" t="s">
        <v>421</v>
      </c>
      <c r="BX24" s="132">
        <v>30.36064338684082</v>
      </c>
      <c r="BY24" s="132">
        <f t="shared" si="12"/>
        <v>7.2533002077704592E-10</v>
      </c>
      <c r="BZ24" s="520">
        <f t="shared" si="26"/>
        <v>5.2572570635379598E-4</v>
      </c>
      <c r="CA24" s="672"/>
      <c r="CB24" s="261" t="s">
        <v>400</v>
      </c>
      <c r="CC24" s="132" t="s">
        <v>421</v>
      </c>
      <c r="CD24" s="132" t="s">
        <v>333</v>
      </c>
      <c r="CE24" s="132" t="e">
        <f t="shared" si="13"/>
        <v>#VALUE!</v>
      </c>
      <c r="CF24" s="520" t="e">
        <f t="shared" si="27"/>
        <v>#VALUE!</v>
      </c>
      <c r="CG24" s="672"/>
      <c r="CH24" s="261" t="s">
        <v>406</v>
      </c>
      <c r="CI24" s="132" t="s">
        <v>421</v>
      </c>
      <c r="CJ24" s="132">
        <v>7.2285919189453125</v>
      </c>
      <c r="CK24" s="132">
        <f t="shared" si="14"/>
        <v>6.667714656101895E-3</v>
      </c>
      <c r="CL24" s="520">
        <f t="shared" si="28"/>
        <v>49308.999839896329</v>
      </c>
      <c r="CM24" s="672"/>
    </row>
    <row r="25" spans="2:91" x14ac:dyDescent="0.25">
      <c r="B25" s="479" t="s">
        <v>353</v>
      </c>
      <c r="C25" s="132" t="s">
        <v>335</v>
      </c>
      <c r="D25" s="132" t="s">
        <v>333</v>
      </c>
      <c r="E25" s="122" t="e">
        <f t="shared" si="0"/>
        <v>#VALUE!</v>
      </c>
      <c r="F25" t="e">
        <f t="shared" si="15"/>
        <v>#VALUE!</v>
      </c>
      <c r="G25" s="789" t="e">
        <f>AVERAGE(F25:F26)</f>
        <v>#VALUE!</v>
      </c>
      <c r="H25" s="479">
        <v>20</v>
      </c>
      <c r="I25" s="132" t="s">
        <v>335</v>
      </c>
      <c r="J25" s="132">
        <v>24.970371246337891</v>
      </c>
      <c r="K25" s="122">
        <f t="shared" si="1"/>
        <v>3.0420703415299459E-8</v>
      </c>
      <c r="L25">
        <f t="shared" si="17"/>
        <v>4.1555258038387787E-3</v>
      </c>
      <c r="M25" s="789">
        <f>AVERAGE(L25:L26)</f>
        <v>3.6144969789982466E-3</v>
      </c>
      <c r="N25" s="490" t="s">
        <v>356</v>
      </c>
      <c r="O25" s="79" t="s">
        <v>335</v>
      </c>
      <c r="P25" s="79">
        <v>22.656341552734375</v>
      </c>
      <c r="Q25" s="79">
        <f t="shared" si="2"/>
        <v>1.5127306299004072E-7</v>
      </c>
      <c r="R25" s="79">
        <f t="shared" si="18"/>
        <v>0.1759575695698791</v>
      </c>
      <c r="S25" s="789">
        <f>AVERAGE(R25:R26)</f>
        <v>0.18386187366871665</v>
      </c>
      <c r="T25" s="496" t="s">
        <v>360</v>
      </c>
      <c r="U25" s="274" t="s">
        <v>360</v>
      </c>
      <c r="V25" s="274" t="s">
        <v>360</v>
      </c>
      <c r="W25" s="274"/>
      <c r="X25" s="274"/>
      <c r="Y25" s="484"/>
      <c r="Z25" s="261" t="s">
        <v>390</v>
      </c>
      <c r="AA25" s="132" t="s">
        <v>335</v>
      </c>
      <c r="AB25" s="132">
        <v>11.459961891174316</v>
      </c>
      <c r="AC25" s="132">
        <f t="shared" si="4"/>
        <v>3.5498313587599591E-4</v>
      </c>
      <c r="AD25" s="520">
        <f>AC25/$AC$13</f>
        <v>9125.4783546152448</v>
      </c>
      <c r="AE25" s="672">
        <f>AVERAGE(AD25:AD26)</f>
        <v>10754.48430385525</v>
      </c>
      <c r="AF25" s="261" t="s">
        <v>396</v>
      </c>
      <c r="AG25" s="132" t="s">
        <v>335</v>
      </c>
      <c r="AH25" s="132">
        <v>27.52714729309082</v>
      </c>
      <c r="AI25" s="132">
        <f t="shared" si="5"/>
        <v>5.1701479331971503E-9</v>
      </c>
      <c r="AJ25" s="520">
        <f t="shared" si="19"/>
        <v>0.21955183756049082</v>
      </c>
      <c r="AK25" s="672">
        <f>AVERAGE(AJ25:AJ26)</f>
        <v>0.22321571121135267</v>
      </c>
      <c r="AL25" s="261" t="s">
        <v>403</v>
      </c>
      <c r="AM25" s="132" t="s">
        <v>335</v>
      </c>
      <c r="AN25" s="132">
        <v>28.428434371948242</v>
      </c>
      <c r="AO25" s="132">
        <f t="shared" si="6"/>
        <v>2.7681430166817754E-9</v>
      </c>
      <c r="AP25" s="520">
        <f t="shared" si="20"/>
        <v>0.12198769296912254</v>
      </c>
      <c r="AQ25" s="672">
        <f>AVERAGE(AP25:AP26)</f>
        <v>0.11810389045806469</v>
      </c>
      <c r="AR25" s="523" t="s">
        <v>360</v>
      </c>
      <c r="AS25" s="272" t="s">
        <v>360</v>
      </c>
      <c r="AT25" s="527" t="s">
        <v>360</v>
      </c>
      <c r="AU25" s="272"/>
      <c r="AV25" s="274"/>
      <c r="AW25" s="872"/>
      <c r="AX25" s="261" t="s">
        <v>353</v>
      </c>
      <c r="AY25" s="132" t="s">
        <v>421</v>
      </c>
      <c r="AZ25" s="132">
        <v>28.660619735717773</v>
      </c>
      <c r="BA25" s="132">
        <f t="shared" si="8"/>
        <v>2.3566428239016955E-9</v>
      </c>
      <c r="BB25" s="520">
        <f t="shared" si="22"/>
        <v>2.3619820565753586E-2</v>
      </c>
      <c r="BC25" s="672">
        <f>AVERAGE(BB25:BB26)</f>
        <v>1.794290076339751E-2</v>
      </c>
      <c r="BD25" s="261" t="s">
        <v>432</v>
      </c>
      <c r="BE25" s="132" t="s">
        <v>421</v>
      </c>
      <c r="BF25" s="132">
        <v>28.588214874267578</v>
      </c>
      <c r="BG25" s="132">
        <f t="shared" si="9"/>
        <v>2.4779343745057183E-9</v>
      </c>
      <c r="BH25" s="520">
        <f t="shared" si="23"/>
        <v>4.7843531411721684E-3</v>
      </c>
      <c r="BI25" s="672">
        <f>AVERAGE(BH25:BH26)</f>
        <v>1.0960192060179031E-2</v>
      </c>
      <c r="BJ25" s="261" t="s">
        <v>356</v>
      </c>
      <c r="BK25" s="132" t="s">
        <v>421</v>
      </c>
      <c r="BL25" s="132">
        <v>28.473270416259766</v>
      </c>
      <c r="BM25" s="132">
        <f t="shared" si="10"/>
        <v>2.6834377809837961E-9</v>
      </c>
      <c r="BN25" s="520">
        <f t="shared" si="24"/>
        <v>7.0685729025999041E-3</v>
      </c>
      <c r="BO25" s="672">
        <f>AVERAGE(BN25:BN26)</f>
        <v>4.8039098462962261E-3</v>
      </c>
      <c r="BP25" s="261" t="s">
        <v>388</v>
      </c>
      <c r="BQ25" s="132" t="s">
        <v>421</v>
      </c>
      <c r="BR25" s="132" t="s">
        <v>333</v>
      </c>
      <c r="BS25" s="132" t="e">
        <f t="shared" si="11"/>
        <v>#VALUE!</v>
      </c>
      <c r="BT25" s="520" t="e">
        <f t="shared" si="25"/>
        <v>#VALUE!</v>
      </c>
      <c r="BU25" s="672" t="e">
        <f>AVERAGE(BT25:BT26)</f>
        <v>#VALUE!</v>
      </c>
      <c r="BV25" s="261" t="s">
        <v>394</v>
      </c>
      <c r="BW25" s="132" t="s">
        <v>421</v>
      </c>
      <c r="BX25" s="132">
        <v>34.831069946289063</v>
      </c>
      <c r="BY25" s="132">
        <f t="shared" si="12"/>
        <v>3.2719236816127427E-11</v>
      </c>
      <c r="BZ25" s="520">
        <f t="shared" si="26"/>
        <v>1.0291985679369504E-4</v>
      </c>
      <c r="CA25" s="672">
        <f>AVERAGE(BZ25)</f>
        <v>1.0291985679369504E-4</v>
      </c>
      <c r="CB25" s="261" t="s">
        <v>401</v>
      </c>
      <c r="CC25" s="132" t="s">
        <v>421</v>
      </c>
      <c r="CD25" s="132" t="s">
        <v>333</v>
      </c>
      <c r="CE25" s="132" t="e">
        <f t="shared" si="13"/>
        <v>#VALUE!</v>
      </c>
      <c r="CF25" s="520" t="e">
        <f t="shared" si="27"/>
        <v>#VALUE!</v>
      </c>
      <c r="CG25" s="672" t="e">
        <f>AVERAGE(CF25)</f>
        <v>#VALUE!</v>
      </c>
      <c r="CH25" s="261" t="s">
        <v>407</v>
      </c>
      <c r="CI25" s="132" t="s">
        <v>421</v>
      </c>
      <c r="CJ25" s="132">
        <v>28.801803588867188</v>
      </c>
      <c r="CK25" s="132">
        <f t="shared" si="14"/>
        <v>2.136944242005454E-9</v>
      </c>
      <c r="CL25" s="520">
        <f t="shared" si="28"/>
        <v>2.0249406546732893E-2</v>
      </c>
      <c r="CM25" s="672">
        <f>AVERAGE(CL25:CL26)</f>
        <v>2.035298855003163E-2</v>
      </c>
    </row>
    <row r="26" spans="2:91" ht="15.75" thickBot="1" x14ac:dyDescent="0.3">
      <c r="B26" s="480" t="s">
        <v>353</v>
      </c>
      <c r="C26" s="203" t="s">
        <v>335</v>
      </c>
      <c r="D26" s="203" t="s">
        <v>333</v>
      </c>
      <c r="E26" s="123" t="e">
        <f t="shared" si="0"/>
        <v>#VALUE!</v>
      </c>
      <c r="F26" s="6" t="e">
        <f t="shared" si="15"/>
        <v>#VALUE!</v>
      </c>
      <c r="G26" s="790"/>
      <c r="H26" s="480">
        <v>20</v>
      </c>
      <c r="I26" s="203" t="s">
        <v>335</v>
      </c>
      <c r="J26" s="203">
        <v>25.213935852050781</v>
      </c>
      <c r="K26" s="123">
        <f t="shared" si="1"/>
        <v>2.5695022350391715E-8</v>
      </c>
      <c r="L26" s="6">
        <f t="shared" si="17"/>
        <v>3.0734681541577146E-3</v>
      </c>
      <c r="M26" s="790"/>
      <c r="N26" s="491" t="s">
        <v>356</v>
      </c>
      <c r="O26" s="82" t="s">
        <v>335</v>
      </c>
      <c r="P26" s="82">
        <v>22.203519821166992</v>
      </c>
      <c r="Q26" s="82">
        <f t="shared" si="2"/>
        <v>2.0704966135055433E-7</v>
      </c>
      <c r="R26" s="82">
        <f t="shared" si="18"/>
        <v>0.19176617776755417</v>
      </c>
      <c r="S26" s="790"/>
      <c r="T26" s="497" t="s">
        <v>360</v>
      </c>
      <c r="U26" s="493" t="s">
        <v>360</v>
      </c>
      <c r="V26" s="493" t="s">
        <v>360</v>
      </c>
      <c r="W26" s="493"/>
      <c r="X26" s="493"/>
      <c r="Y26" s="485"/>
      <c r="Z26" s="262" t="s">
        <v>390</v>
      </c>
      <c r="AA26" s="203" t="s">
        <v>335</v>
      </c>
      <c r="AB26" s="203">
        <v>11.329195022583008</v>
      </c>
      <c r="AC26" s="203">
        <f t="shared" si="4"/>
        <v>3.8866234930543257E-4</v>
      </c>
      <c r="AD26" s="521">
        <f>AC26/$AC$14</f>
        <v>12383.490253095257</v>
      </c>
      <c r="AE26" s="672"/>
      <c r="AF26" s="262" t="s">
        <v>396</v>
      </c>
      <c r="AG26" s="203" t="s">
        <v>335</v>
      </c>
      <c r="AH26" s="203">
        <v>26.993925094604492</v>
      </c>
      <c r="AI26" s="203">
        <f t="shared" si="5"/>
        <v>7.4820196735632862E-9</v>
      </c>
      <c r="AJ26" s="521">
        <f t="shared" si="19"/>
        <v>0.22687958486221452</v>
      </c>
      <c r="AK26" s="672"/>
      <c r="AL26" s="262" t="s">
        <v>403</v>
      </c>
      <c r="AM26" s="203" t="s">
        <v>335</v>
      </c>
      <c r="AN26" s="203">
        <v>28.335765838623047</v>
      </c>
      <c r="AO26" s="203">
        <f t="shared" si="6"/>
        <v>2.9517837153554147E-9</v>
      </c>
      <c r="AP26" s="521">
        <f t="shared" si="20"/>
        <v>0.11422008794700685</v>
      </c>
      <c r="AQ26" s="672"/>
      <c r="AR26" s="524" t="s">
        <v>360</v>
      </c>
      <c r="AS26" s="278" t="s">
        <v>360</v>
      </c>
      <c r="AT26" s="528" t="s">
        <v>360</v>
      </c>
      <c r="AU26" s="278"/>
      <c r="AV26" s="493"/>
      <c r="AW26" s="873"/>
      <c r="AX26" s="262" t="s">
        <v>353</v>
      </c>
      <c r="AY26" s="203" t="s">
        <v>421</v>
      </c>
      <c r="AZ26" s="203">
        <v>29.348222732543945</v>
      </c>
      <c r="BA26" s="203">
        <f t="shared" si="8"/>
        <v>1.463203185892863E-9</v>
      </c>
      <c r="BB26" s="521">
        <f t="shared" si="22"/>
        <v>1.2265980961041435E-2</v>
      </c>
      <c r="BC26" s="672"/>
      <c r="BD26" s="262" t="s">
        <v>432</v>
      </c>
      <c r="BE26" s="203" t="s">
        <v>421</v>
      </c>
      <c r="BF26" s="203">
        <v>28.716253280639648</v>
      </c>
      <c r="BG26" s="203">
        <f t="shared" si="9"/>
        <v>2.267495320380514E-9</v>
      </c>
      <c r="BH26" s="521">
        <f t="shared" si="23"/>
        <v>1.7136030979185892E-2</v>
      </c>
      <c r="BI26" s="672"/>
      <c r="BJ26" s="262" t="s">
        <v>356</v>
      </c>
      <c r="BK26" s="203" t="s">
        <v>421</v>
      </c>
      <c r="BL26" s="203">
        <v>29.899398803710938</v>
      </c>
      <c r="BM26" s="203">
        <f t="shared" si="10"/>
        <v>9.9858286080819889E-10</v>
      </c>
      <c r="BN26" s="521">
        <f t="shared" si="24"/>
        <v>2.5392467899925486E-3</v>
      </c>
      <c r="BO26" s="672"/>
      <c r="BP26" s="262" t="s">
        <v>388</v>
      </c>
      <c r="BQ26" s="203" t="s">
        <v>421</v>
      </c>
      <c r="BR26" s="203" t="s">
        <v>333</v>
      </c>
      <c r="BS26" s="203" t="e">
        <f t="shared" si="11"/>
        <v>#VALUE!</v>
      </c>
      <c r="BT26" s="521" t="e">
        <f t="shared" si="25"/>
        <v>#VALUE!</v>
      </c>
      <c r="BU26" s="672"/>
      <c r="BV26" s="262" t="s">
        <v>394</v>
      </c>
      <c r="BW26" s="203" t="s">
        <v>421</v>
      </c>
      <c r="BX26" s="203" t="s">
        <v>333</v>
      </c>
      <c r="BY26" s="203" t="e">
        <f t="shared" si="12"/>
        <v>#VALUE!</v>
      </c>
      <c r="BZ26" s="521" t="e">
        <f t="shared" si="26"/>
        <v>#VALUE!</v>
      </c>
      <c r="CA26" s="672"/>
      <c r="CB26" s="262" t="s">
        <v>401</v>
      </c>
      <c r="CC26" s="203" t="s">
        <v>421</v>
      </c>
      <c r="CD26" s="203" t="s">
        <v>333</v>
      </c>
      <c r="CE26" s="203" t="e">
        <f t="shared" si="13"/>
        <v>#VALUE!</v>
      </c>
      <c r="CF26" s="521" t="e">
        <f t="shared" si="27"/>
        <v>#VALUE!</v>
      </c>
      <c r="CG26" s="672"/>
      <c r="CH26" s="262" t="s">
        <v>407</v>
      </c>
      <c r="CI26" s="203" t="s">
        <v>421</v>
      </c>
      <c r="CJ26" s="203">
        <v>28.824062347412109</v>
      </c>
      <c r="CK26" s="203">
        <f t="shared" si="14"/>
        <v>2.1042272309683941E-9</v>
      </c>
      <c r="CL26" s="521">
        <f t="shared" si="28"/>
        <v>2.0456570553330368E-2</v>
      </c>
      <c r="CM26" s="672"/>
    </row>
    <row r="27" spans="2:91" x14ac:dyDescent="0.25">
      <c r="B27" s="478" t="s">
        <v>331</v>
      </c>
      <c r="C27" s="202" t="s">
        <v>336</v>
      </c>
      <c r="D27" s="202" t="s">
        <v>333</v>
      </c>
      <c r="E27" s="443" t="e">
        <f t="shared" si="0"/>
        <v>#VALUE!</v>
      </c>
      <c r="F27" s="8" t="e">
        <f t="shared" ref="F27:F38" si="29">E27/E3</f>
        <v>#VALUE!</v>
      </c>
      <c r="G27" s="487"/>
      <c r="H27" s="478" t="s">
        <v>331</v>
      </c>
      <c r="I27" s="202" t="s">
        <v>336</v>
      </c>
      <c r="J27" s="202" t="s">
        <v>333</v>
      </c>
      <c r="K27" s="443" t="e">
        <f t="shared" si="1"/>
        <v>#VALUE!</v>
      </c>
      <c r="L27" s="8" t="e">
        <f>K27/K3</f>
        <v>#VALUE!</v>
      </c>
      <c r="M27" s="487"/>
      <c r="N27" s="489" t="s">
        <v>331</v>
      </c>
      <c r="O27" s="251" t="s">
        <v>336</v>
      </c>
      <c r="P27" s="251" t="s">
        <v>333</v>
      </c>
      <c r="Q27" s="251" t="e">
        <f t="shared" si="2"/>
        <v>#VALUE!</v>
      </c>
      <c r="R27" s="251" t="e">
        <f>Q27/Q3</f>
        <v>#VALUE!</v>
      </c>
      <c r="S27" s="487"/>
      <c r="T27" s="375" t="s">
        <v>331</v>
      </c>
      <c r="U27" s="251" t="s">
        <v>336</v>
      </c>
      <c r="V27" s="251" t="s">
        <v>333</v>
      </c>
      <c r="W27" s="251" t="e">
        <f t="shared" si="3"/>
        <v>#VALUE!</v>
      </c>
      <c r="X27" s="251" t="e">
        <f t="shared" ref="X27:X32" si="30">W27/W3</f>
        <v>#VALUE!</v>
      </c>
      <c r="Y27" s="487"/>
      <c r="Z27" s="452" t="s">
        <v>331</v>
      </c>
      <c r="AA27" s="202" t="s">
        <v>336</v>
      </c>
      <c r="AB27" s="202">
        <v>37.170169830322266</v>
      </c>
      <c r="AC27" s="202">
        <f t="shared" si="4"/>
        <v>6.4664204187819796E-12</v>
      </c>
      <c r="AD27" s="514" t="e">
        <f>AC27/$AC$3</f>
        <v>#VALUE!</v>
      </c>
      <c r="AE27" s="400"/>
      <c r="AF27" s="452" t="s">
        <v>331</v>
      </c>
      <c r="AG27" s="202" t="s">
        <v>336</v>
      </c>
      <c r="AH27" s="202">
        <v>37.037628173828125</v>
      </c>
      <c r="AI27" s="202">
        <f t="shared" si="5"/>
        <v>7.0886404957206193E-12</v>
      </c>
      <c r="AJ27" s="514">
        <f>AI27/AI3</f>
        <v>0.41751132534652985</v>
      </c>
      <c r="AK27" s="400"/>
      <c r="AL27" s="452" t="s">
        <v>331</v>
      </c>
      <c r="AM27" s="202" t="s">
        <v>336</v>
      </c>
      <c r="AN27" s="202">
        <v>36.603260040283203</v>
      </c>
      <c r="AO27" s="202">
        <f t="shared" si="6"/>
        <v>9.5790135763548726E-12</v>
      </c>
      <c r="AP27" s="514">
        <f>AO27/AO3</f>
        <v>6.2221380018143497E-10</v>
      </c>
      <c r="AQ27" s="400"/>
      <c r="AR27" s="452" t="s">
        <v>331</v>
      </c>
      <c r="AS27" s="202" t="s">
        <v>336</v>
      </c>
      <c r="AT27" s="443">
        <v>36.995052337646484</v>
      </c>
      <c r="AU27" s="202">
        <f t="shared" si="7"/>
        <v>7.3009530426548293E-12</v>
      </c>
      <c r="AV27" s="251" t="e">
        <f>AU27/AU3</f>
        <v>#VALUE!</v>
      </c>
      <c r="AW27" s="487"/>
      <c r="AX27" s="452" t="s">
        <v>331</v>
      </c>
      <c r="AY27" s="202" t="s">
        <v>422</v>
      </c>
      <c r="AZ27" s="202" t="s">
        <v>333</v>
      </c>
      <c r="BA27" s="202" t="e">
        <f t="shared" si="8"/>
        <v>#VALUE!</v>
      </c>
      <c r="BB27" s="514" t="e">
        <f>BA27/BA3</f>
        <v>#VALUE!</v>
      </c>
      <c r="BC27" s="400"/>
      <c r="BD27" s="452" t="s">
        <v>331</v>
      </c>
      <c r="BE27" s="202" t="s">
        <v>422</v>
      </c>
      <c r="BF27" s="202" t="s">
        <v>333</v>
      </c>
      <c r="BG27" s="202" t="e">
        <f t="shared" si="9"/>
        <v>#VALUE!</v>
      </c>
      <c r="BH27" s="514" t="e">
        <f>BG27/BG3</f>
        <v>#VALUE!</v>
      </c>
      <c r="BI27" s="400"/>
      <c r="BJ27" s="452" t="s">
        <v>331</v>
      </c>
      <c r="BK27" s="202" t="s">
        <v>422</v>
      </c>
      <c r="BL27" s="202" t="s">
        <v>333</v>
      </c>
      <c r="BM27" s="202" t="e">
        <f t="shared" si="10"/>
        <v>#VALUE!</v>
      </c>
      <c r="BN27" s="514" t="e">
        <f>BM27/BM3</f>
        <v>#VALUE!</v>
      </c>
      <c r="BO27" s="400"/>
      <c r="BP27" s="452" t="s">
        <v>331</v>
      </c>
      <c r="BQ27" s="202" t="s">
        <v>422</v>
      </c>
      <c r="BR27" s="202" t="s">
        <v>333</v>
      </c>
      <c r="BS27" s="202" t="e">
        <f t="shared" si="11"/>
        <v>#VALUE!</v>
      </c>
      <c r="BT27" s="514" t="e">
        <f>BS27/BS3</f>
        <v>#VALUE!</v>
      </c>
      <c r="BU27" s="400"/>
      <c r="BV27" s="452" t="s">
        <v>331</v>
      </c>
      <c r="BW27" s="202" t="s">
        <v>422</v>
      </c>
      <c r="BX27" s="202" t="s">
        <v>333</v>
      </c>
      <c r="BY27" s="202" t="e">
        <f t="shared" si="12"/>
        <v>#VALUE!</v>
      </c>
      <c r="BZ27" s="514" t="e">
        <f>BY27/BY3</f>
        <v>#VALUE!</v>
      </c>
      <c r="CA27" s="400"/>
      <c r="CB27" s="452" t="s">
        <v>331</v>
      </c>
      <c r="CC27" s="202" t="s">
        <v>422</v>
      </c>
      <c r="CD27" s="202" t="s">
        <v>333</v>
      </c>
      <c r="CE27" s="202" t="e">
        <f t="shared" si="13"/>
        <v>#VALUE!</v>
      </c>
      <c r="CF27" s="514" t="e">
        <f>CE27/CE3</f>
        <v>#VALUE!</v>
      </c>
      <c r="CG27" s="400"/>
      <c r="CH27" s="452" t="s">
        <v>331</v>
      </c>
      <c r="CI27" s="202" t="s">
        <v>422</v>
      </c>
      <c r="CJ27" s="202" t="s">
        <v>333</v>
      </c>
      <c r="CK27" s="202" t="e">
        <f t="shared" si="14"/>
        <v>#VALUE!</v>
      </c>
      <c r="CL27" s="514" t="e">
        <f>CK27/CK3</f>
        <v>#VALUE!</v>
      </c>
      <c r="CM27" s="400"/>
    </row>
    <row r="28" spans="2:91" x14ac:dyDescent="0.25">
      <c r="B28" s="486" t="s">
        <v>331</v>
      </c>
      <c r="C28" s="134" t="s">
        <v>336</v>
      </c>
      <c r="D28" s="134">
        <v>37.126609802246094</v>
      </c>
      <c r="E28" s="139">
        <f t="shared" si="0"/>
        <v>6.6646417933477444E-12</v>
      </c>
      <c r="F28" s="162" t="e">
        <f t="shared" si="29"/>
        <v>#VALUE!</v>
      </c>
      <c r="G28" s="488"/>
      <c r="H28" s="486" t="s">
        <v>331</v>
      </c>
      <c r="I28" s="134" t="s">
        <v>336</v>
      </c>
      <c r="J28" s="134">
        <v>37.171833038330078</v>
      </c>
      <c r="K28" s="139">
        <f t="shared" si="1"/>
        <v>6.4589699147888886E-12</v>
      </c>
      <c r="L28" s="162" t="e">
        <f t="shared" ref="L28:L38" si="31">K28/K4</f>
        <v>#VALUE!</v>
      </c>
      <c r="M28" s="488"/>
      <c r="N28" s="494" t="s">
        <v>331</v>
      </c>
      <c r="O28" s="138" t="s">
        <v>336</v>
      </c>
      <c r="P28" s="138" t="s">
        <v>333</v>
      </c>
      <c r="Q28" s="138" t="e">
        <f t="shared" si="2"/>
        <v>#VALUE!</v>
      </c>
      <c r="R28" s="138" t="e">
        <f t="shared" ref="R28:R38" si="32">Q28/Q4</f>
        <v>#VALUE!</v>
      </c>
      <c r="S28" s="488"/>
      <c r="T28" s="257" t="s">
        <v>331</v>
      </c>
      <c r="U28" s="138" t="s">
        <v>336</v>
      </c>
      <c r="V28" s="138" t="s">
        <v>333</v>
      </c>
      <c r="W28" s="138" t="e">
        <f t="shared" si="3"/>
        <v>#VALUE!</v>
      </c>
      <c r="X28" s="138" t="e">
        <f t="shared" si="30"/>
        <v>#VALUE!</v>
      </c>
      <c r="Y28" s="488"/>
      <c r="Z28" s="513" t="s">
        <v>331</v>
      </c>
      <c r="AA28" s="134" t="s">
        <v>336</v>
      </c>
      <c r="AB28" s="134">
        <v>38.225624084472656</v>
      </c>
      <c r="AC28" s="134">
        <f t="shared" si="4"/>
        <v>3.1112903902991077E-12</v>
      </c>
      <c r="AD28" s="519" t="e">
        <f>AC28/$AC$4</f>
        <v>#VALUE!</v>
      </c>
      <c r="AE28" s="385"/>
      <c r="AF28" s="513" t="s">
        <v>331</v>
      </c>
      <c r="AG28" s="134" t="s">
        <v>336</v>
      </c>
      <c r="AH28" s="134">
        <v>36.880756378173828</v>
      </c>
      <c r="AI28" s="134">
        <f t="shared" si="5"/>
        <v>7.9028923718014443E-12</v>
      </c>
      <c r="AJ28" s="519">
        <f t="shared" ref="AJ28:AJ38" si="33">AI28/AI4</f>
        <v>1.0486428521200295</v>
      </c>
      <c r="AK28" s="385"/>
      <c r="AL28" s="513" t="s">
        <v>331</v>
      </c>
      <c r="AM28" s="134" t="s">
        <v>336</v>
      </c>
      <c r="AN28" s="134">
        <v>36.948596954345703</v>
      </c>
      <c r="AO28" s="134">
        <f t="shared" si="6"/>
        <v>7.539872796433672E-12</v>
      </c>
      <c r="AP28" s="519" t="e">
        <f t="shared" ref="AP28:AP38" si="34">AO28/AO4</f>
        <v>#VALUE!</v>
      </c>
      <c r="AQ28" s="385"/>
      <c r="AR28" s="513" t="s">
        <v>331</v>
      </c>
      <c r="AS28" s="134" t="s">
        <v>336</v>
      </c>
      <c r="AT28" s="139">
        <v>37.041019439697266</v>
      </c>
      <c r="AU28" s="134">
        <f t="shared" si="7"/>
        <v>7.0719971775718909E-12</v>
      </c>
      <c r="AV28" s="138" t="e">
        <f t="shared" ref="AV28:AV34" si="35">AU28/AU4</f>
        <v>#VALUE!</v>
      </c>
      <c r="AW28" s="488"/>
      <c r="AX28" s="513" t="s">
        <v>331</v>
      </c>
      <c r="AY28" s="134" t="s">
        <v>422</v>
      </c>
      <c r="AZ28" s="134" t="s">
        <v>333</v>
      </c>
      <c r="BA28" s="134" t="e">
        <f t="shared" si="8"/>
        <v>#VALUE!</v>
      </c>
      <c r="BB28" s="519" t="e">
        <f t="shared" ref="BB28:BB38" si="36">BA28/BA4</f>
        <v>#VALUE!</v>
      </c>
      <c r="BC28" s="385"/>
      <c r="BD28" s="513" t="s">
        <v>331</v>
      </c>
      <c r="BE28" s="134" t="s">
        <v>422</v>
      </c>
      <c r="BF28" s="134">
        <v>35.91314697265625</v>
      </c>
      <c r="BG28" s="134">
        <f t="shared" si="9"/>
        <v>1.5454875915592784E-11</v>
      </c>
      <c r="BH28" s="519" t="e">
        <f t="shared" ref="BH28:BH38" si="37">BG28/BG4</f>
        <v>#VALUE!</v>
      </c>
      <c r="BI28" s="385"/>
      <c r="BJ28" s="513" t="s">
        <v>331</v>
      </c>
      <c r="BK28" s="134" t="s">
        <v>422</v>
      </c>
      <c r="BL28" s="134" t="s">
        <v>333</v>
      </c>
      <c r="BM28" s="134" t="e">
        <f t="shared" si="10"/>
        <v>#VALUE!</v>
      </c>
      <c r="BN28" s="519" t="e">
        <f t="shared" ref="BN28:BN38" si="38">BM28/BM4</f>
        <v>#VALUE!</v>
      </c>
      <c r="BO28" s="385"/>
      <c r="BP28" s="513" t="s">
        <v>331</v>
      </c>
      <c r="BQ28" s="134" t="s">
        <v>422</v>
      </c>
      <c r="BR28" s="134">
        <v>35.306949615478516</v>
      </c>
      <c r="BS28" s="134">
        <f t="shared" si="11"/>
        <v>2.3526055127348106E-11</v>
      </c>
      <c r="BT28" s="519">
        <f t="shared" ref="BT28:BT38" si="39">BS28/BS4</f>
        <v>1.5378699774902671</v>
      </c>
      <c r="BU28" s="385"/>
      <c r="BV28" s="513" t="s">
        <v>331</v>
      </c>
      <c r="BW28" s="134" t="s">
        <v>422</v>
      </c>
      <c r="BX28" s="134" t="s">
        <v>333</v>
      </c>
      <c r="BY28" s="134" t="e">
        <f t="shared" si="12"/>
        <v>#VALUE!</v>
      </c>
      <c r="BZ28" s="519" t="e">
        <f t="shared" ref="BZ28:BZ38" si="40">BY28/BY4</f>
        <v>#VALUE!</v>
      </c>
      <c r="CA28" s="385"/>
      <c r="CB28" s="513" t="s">
        <v>331</v>
      </c>
      <c r="CC28" s="134" t="s">
        <v>422</v>
      </c>
      <c r="CD28" s="134" t="s">
        <v>333</v>
      </c>
      <c r="CE28" s="134" t="e">
        <f t="shared" si="13"/>
        <v>#VALUE!</v>
      </c>
      <c r="CF28" s="519" t="e">
        <f t="shared" ref="CF28:CF38" si="41">CE28/CE4</f>
        <v>#VALUE!</v>
      </c>
      <c r="CG28" s="385"/>
      <c r="CH28" s="513" t="s">
        <v>331</v>
      </c>
      <c r="CI28" s="134" t="s">
        <v>422</v>
      </c>
      <c r="CJ28" s="134" t="s">
        <v>333</v>
      </c>
      <c r="CK28" s="134" t="e">
        <f t="shared" si="14"/>
        <v>#VALUE!</v>
      </c>
      <c r="CL28" s="519" t="e">
        <f t="shared" ref="CL28:CL38" si="42">CK28/CK4</f>
        <v>#VALUE!</v>
      </c>
      <c r="CM28" s="385"/>
    </row>
    <row r="29" spans="2:91" x14ac:dyDescent="0.25">
      <c r="B29" s="479" t="s">
        <v>349</v>
      </c>
      <c r="C29" s="132" t="s">
        <v>336</v>
      </c>
      <c r="D29" s="132">
        <v>18.673486709594727</v>
      </c>
      <c r="E29" s="122">
        <f t="shared" si="0"/>
        <v>2.3917753010434026E-6</v>
      </c>
      <c r="F29">
        <f t="shared" si="29"/>
        <v>1.1577203078425803E-3</v>
      </c>
      <c r="G29" s="789">
        <f>AVERAGE(F29:F30)</f>
        <v>8.5635445982650351E-4</v>
      </c>
      <c r="H29" s="479">
        <v>30</v>
      </c>
      <c r="I29" s="132" t="s">
        <v>336</v>
      </c>
      <c r="J29" s="132">
        <v>26.099397659301758</v>
      </c>
      <c r="K29" s="122">
        <f t="shared" si="1"/>
        <v>1.3909080984881544E-8</v>
      </c>
      <c r="L29">
        <f t="shared" si="31"/>
        <v>7.2022230974648944E-3</v>
      </c>
      <c r="M29" s="789">
        <f>AVERAGE(L29:L30)</f>
        <v>4.6465651884416538E-3</v>
      </c>
      <c r="N29" s="490">
        <v>15</v>
      </c>
      <c r="O29" s="79" t="s">
        <v>336</v>
      </c>
      <c r="P29" s="79">
        <v>29.112031936645508</v>
      </c>
      <c r="Q29" s="79">
        <f t="shared" si="2"/>
        <v>1.7234756517957905E-9</v>
      </c>
      <c r="R29" s="79" t="e">
        <f t="shared" si="32"/>
        <v>#VALUE!</v>
      </c>
      <c r="S29" s="789" t="e">
        <f>AVERAGE(R29:R30)</f>
        <v>#VALUE!</v>
      </c>
      <c r="T29" s="80" t="s">
        <v>358</v>
      </c>
      <c r="U29" s="79" t="s">
        <v>336</v>
      </c>
      <c r="V29" s="79">
        <v>29.979772567749023</v>
      </c>
      <c r="W29" s="79">
        <f t="shared" si="3"/>
        <v>9.4447223194135645E-10</v>
      </c>
      <c r="X29" s="79">
        <f t="shared" si="30"/>
        <v>1.2333824442138319E-4</v>
      </c>
      <c r="Y29" s="789">
        <f>AVERAGE(X29:X30)</f>
        <v>6.4543297411276754E-5</v>
      </c>
      <c r="Z29" s="261" t="s">
        <v>386</v>
      </c>
      <c r="AA29" s="132" t="s">
        <v>336</v>
      </c>
      <c r="AB29" s="132">
        <v>28.499963760375977</v>
      </c>
      <c r="AC29" s="132">
        <f t="shared" si="4"/>
        <v>2.6342442017157363E-9</v>
      </c>
      <c r="AD29" s="520">
        <f>AC29/$AC$5</f>
        <v>0.23775246368380532</v>
      </c>
      <c r="AE29" s="676">
        <f>AVERAGE(AD29:AD30)</f>
        <v>0.24349901969230905</v>
      </c>
      <c r="AF29" s="261" t="s">
        <v>392</v>
      </c>
      <c r="AG29" s="132" t="s">
        <v>336</v>
      </c>
      <c r="AH29" s="132">
        <v>30.747455596923828</v>
      </c>
      <c r="AI29" s="132">
        <f t="shared" si="5"/>
        <v>5.5474522790346713E-10</v>
      </c>
      <c r="AJ29" s="520">
        <f t="shared" si="33"/>
        <v>9.4475289897271858E-3</v>
      </c>
      <c r="AK29" s="676">
        <f>AVERAGE(AJ29:AJ30)</f>
        <v>1.1067082363416619E-2</v>
      </c>
      <c r="AL29" s="261" t="s">
        <v>399</v>
      </c>
      <c r="AM29" s="132" t="s">
        <v>336</v>
      </c>
      <c r="AN29" s="132">
        <v>30.958446502685547</v>
      </c>
      <c r="AO29" s="132">
        <f t="shared" si="6"/>
        <v>4.7926860779381547E-10</v>
      </c>
      <c r="AP29" s="520">
        <f t="shared" si="34"/>
        <v>1.8347406695084431E-2</v>
      </c>
      <c r="AQ29" s="676">
        <f>AVERAGE(AP29:AP30)</f>
        <v>2.0874343286072933E-2</v>
      </c>
      <c r="AR29" s="261" t="s">
        <v>405</v>
      </c>
      <c r="AS29" s="132" t="s">
        <v>336</v>
      </c>
      <c r="AT29" s="122">
        <v>29.710426330566406</v>
      </c>
      <c r="AU29" s="132">
        <f t="shared" si="7"/>
        <v>1.138336052047338E-9</v>
      </c>
      <c r="AV29" s="79">
        <f t="shared" si="35"/>
        <v>8.5820164343385803E-3</v>
      </c>
      <c r="AW29" s="789">
        <f>AVERAGE(AV29:AV30)</f>
        <v>1.0556752730569767E-2</v>
      </c>
      <c r="AX29" s="261" t="s">
        <v>349</v>
      </c>
      <c r="AY29" s="132" t="s">
        <v>422</v>
      </c>
      <c r="AZ29" s="132">
        <v>27.407674789428711</v>
      </c>
      <c r="BA29" s="132">
        <f t="shared" si="8"/>
        <v>5.6165260429313324E-9</v>
      </c>
      <c r="BB29" s="520">
        <f t="shared" si="36"/>
        <v>1.1086894770930963E-2</v>
      </c>
      <c r="BC29" s="676">
        <f>AVERAGE(BB29:BB30)</f>
        <v>9.5789995846539862E-3</v>
      </c>
      <c r="BD29" s="261" t="s">
        <v>429</v>
      </c>
      <c r="BE29" s="132" t="s">
        <v>422</v>
      </c>
      <c r="BF29" s="132">
        <v>29.463090896606445</v>
      </c>
      <c r="BG29" s="132">
        <f t="shared" si="9"/>
        <v>1.3512194099528475E-9</v>
      </c>
      <c r="BH29" s="520">
        <f t="shared" si="37"/>
        <v>3.5836859807784173E-3</v>
      </c>
      <c r="BI29" s="676">
        <f>AVERAGE(BH29:BH30)</f>
        <v>3.8267940641717657E-3</v>
      </c>
      <c r="BJ29" s="261" t="s">
        <v>439</v>
      </c>
      <c r="BK29" s="132" t="s">
        <v>422</v>
      </c>
      <c r="BL29" s="132">
        <v>30.633197784423828</v>
      </c>
      <c r="BM29" s="132">
        <f t="shared" si="10"/>
        <v>6.0046625200763315E-10</v>
      </c>
      <c r="BN29" s="520">
        <f t="shared" si="38"/>
        <v>1.6869571789177237E-3</v>
      </c>
      <c r="BO29" s="676">
        <f>AVERAGE(BN29:BN30)</f>
        <v>1.7777260624083106E-3</v>
      </c>
      <c r="BP29" s="261" t="s">
        <v>358</v>
      </c>
      <c r="BQ29" s="132" t="s">
        <v>422</v>
      </c>
      <c r="BR29" s="132">
        <v>23.041120529174805</v>
      </c>
      <c r="BS29" s="132">
        <f t="shared" si="11"/>
        <v>1.1585948321208813E-7</v>
      </c>
      <c r="BT29" s="520">
        <f t="shared" si="39"/>
        <v>0.23099123815181705</v>
      </c>
      <c r="BU29" s="676">
        <f>AVERAGE(BT29:BT30)</f>
        <v>0.22466569405830805</v>
      </c>
      <c r="BV29" s="261" t="s">
        <v>389</v>
      </c>
      <c r="BW29" s="132" t="s">
        <v>422</v>
      </c>
      <c r="BX29" s="132">
        <v>34.752735137939453</v>
      </c>
      <c r="BY29" s="132">
        <f t="shared" si="12"/>
        <v>3.4544928021370876E-11</v>
      </c>
      <c r="BZ29" s="520">
        <f t="shared" si="40"/>
        <v>6.2307778447141246E-5</v>
      </c>
      <c r="CA29" s="676">
        <f>AVERAGE(BZ29:BZ30)</f>
        <v>7.3386685469179009E-5</v>
      </c>
      <c r="CB29" s="261" t="s">
        <v>395</v>
      </c>
      <c r="CC29" s="132" t="s">
        <v>422</v>
      </c>
      <c r="CD29" s="132">
        <v>32.979080200195313</v>
      </c>
      <c r="CE29" s="132">
        <f t="shared" si="13"/>
        <v>1.181157006079481E-10</v>
      </c>
      <c r="CF29" s="520">
        <f t="shared" si="41"/>
        <v>7.7269040848934703E-5</v>
      </c>
      <c r="CG29" s="676">
        <f>AVERAGE(CF29:CF30)</f>
        <v>6.1320923657227515E-5</v>
      </c>
      <c r="CH29" s="261" t="s">
        <v>402</v>
      </c>
      <c r="CI29" s="132" t="s">
        <v>422</v>
      </c>
      <c r="CJ29" s="132">
        <v>32.169269561767578</v>
      </c>
      <c r="CK29" s="132">
        <f t="shared" si="14"/>
        <v>2.0705461903160433E-10</v>
      </c>
      <c r="CL29" s="520">
        <f t="shared" si="42"/>
        <v>1.8618198298492904E-3</v>
      </c>
      <c r="CM29" s="676">
        <f>AVERAGE(CL29:CL30)</f>
        <v>1.8146567670943E-3</v>
      </c>
    </row>
    <row r="30" spans="2:91" x14ac:dyDescent="0.25">
      <c r="B30" s="479" t="s">
        <v>349</v>
      </c>
      <c r="C30" s="132" t="s">
        <v>336</v>
      </c>
      <c r="D30" s="132">
        <v>20.589664459228516</v>
      </c>
      <c r="E30" s="122">
        <f t="shared" si="0"/>
        <v>6.3371413928949035E-7</v>
      </c>
      <c r="F30">
        <f t="shared" si="29"/>
        <v>5.5498861181042672E-4</v>
      </c>
      <c r="G30" s="789"/>
      <c r="H30" s="479">
        <v>30</v>
      </c>
      <c r="I30" s="132" t="s">
        <v>336</v>
      </c>
      <c r="J30" s="132">
        <v>25.786748886108398</v>
      </c>
      <c r="K30" s="122">
        <f t="shared" si="1"/>
        <v>1.7274882203547063E-8</v>
      </c>
      <c r="L30">
        <f t="shared" si="31"/>
        <v>2.0909072794184128E-3</v>
      </c>
      <c r="M30" s="789"/>
      <c r="N30" s="490">
        <v>15</v>
      </c>
      <c r="O30" s="79" t="s">
        <v>336</v>
      </c>
      <c r="P30" s="79">
        <v>29.760862350463867</v>
      </c>
      <c r="Q30" s="79">
        <f t="shared" si="2"/>
        <v>1.0992278817856364E-9</v>
      </c>
      <c r="R30" s="79">
        <f t="shared" si="32"/>
        <v>1.3932561519473807E-3</v>
      </c>
      <c r="S30" s="789"/>
      <c r="T30" s="80" t="s">
        <v>358</v>
      </c>
      <c r="U30" s="79" t="s">
        <v>336</v>
      </c>
      <c r="V30" s="79">
        <v>33.997833251953125</v>
      </c>
      <c r="W30" s="79">
        <f t="shared" si="3"/>
        <v>5.8295147241978368E-11</v>
      </c>
      <c r="X30" s="79">
        <f t="shared" si="30"/>
        <v>5.7483504011703263E-6</v>
      </c>
      <c r="Y30" s="789"/>
      <c r="Z30" s="261" t="s">
        <v>386</v>
      </c>
      <c r="AA30" s="132" t="s">
        <v>336</v>
      </c>
      <c r="AB30" s="132">
        <v>28.663576126098633</v>
      </c>
      <c r="AC30" s="132">
        <f t="shared" si="4"/>
        <v>2.3518185039613607E-9</v>
      </c>
      <c r="AD30" s="520">
        <f>AC30/$AC$6</f>
        <v>0.24924557570081279</v>
      </c>
      <c r="AE30" s="672"/>
      <c r="AF30" s="261" t="s">
        <v>392</v>
      </c>
      <c r="AG30" s="132" t="s">
        <v>336</v>
      </c>
      <c r="AH30" s="132">
        <v>30.8477783203125</v>
      </c>
      <c r="AI30" s="132">
        <f t="shared" si="5"/>
        <v>5.1747982903293376E-10</v>
      </c>
      <c r="AJ30" s="520">
        <f t="shared" si="33"/>
        <v>1.268663573710605E-2</v>
      </c>
      <c r="AK30" s="672"/>
      <c r="AL30" s="261" t="s">
        <v>399</v>
      </c>
      <c r="AM30" s="132" t="s">
        <v>336</v>
      </c>
      <c r="AN30" s="132">
        <v>30.869045257568359</v>
      </c>
      <c r="AO30" s="132">
        <f t="shared" si="6"/>
        <v>5.0990754708910716E-10</v>
      </c>
      <c r="AP30" s="520">
        <f t="shared" si="34"/>
        <v>2.3401279877061434E-2</v>
      </c>
      <c r="AQ30" s="672"/>
      <c r="AR30" s="261" t="s">
        <v>405</v>
      </c>
      <c r="AS30" s="132" t="s">
        <v>336</v>
      </c>
      <c r="AT30" s="122">
        <v>29.688968658447266</v>
      </c>
      <c r="AU30" s="132">
        <f t="shared" si="7"/>
        <v>1.1553934295432022E-9</v>
      </c>
      <c r="AV30" s="79">
        <f t="shared" si="35"/>
        <v>1.2531489026800954E-2</v>
      </c>
      <c r="AW30" s="789"/>
      <c r="AX30" s="261" t="s">
        <v>349</v>
      </c>
      <c r="AY30" s="132" t="s">
        <v>422</v>
      </c>
      <c r="AZ30" s="132">
        <v>27.906915664672852</v>
      </c>
      <c r="BA30" s="132">
        <f t="shared" si="8"/>
        <v>3.973573937414923E-9</v>
      </c>
      <c r="BB30" s="520">
        <f t="shared" si="36"/>
        <v>8.0711043983770093E-3</v>
      </c>
      <c r="BC30" s="672"/>
      <c r="BD30" s="261" t="s">
        <v>429</v>
      </c>
      <c r="BE30" s="132" t="s">
        <v>422</v>
      </c>
      <c r="BF30" s="132">
        <v>30.654001235961914</v>
      </c>
      <c r="BG30" s="132">
        <f t="shared" si="9"/>
        <v>5.9186974559389784E-10</v>
      </c>
      <c r="BH30" s="520">
        <f t="shared" si="37"/>
        <v>4.069902147565114E-3</v>
      </c>
      <c r="BI30" s="672"/>
      <c r="BJ30" s="261" t="s">
        <v>439</v>
      </c>
      <c r="BK30" s="132" t="s">
        <v>422</v>
      </c>
      <c r="BL30" s="132">
        <v>30.941661834716797</v>
      </c>
      <c r="BM30" s="132">
        <f t="shared" si="10"/>
        <v>4.8487709834726624E-10</v>
      </c>
      <c r="BN30" s="520">
        <f t="shared" si="38"/>
        <v>1.8684949458988972E-3</v>
      </c>
      <c r="BO30" s="672"/>
      <c r="BP30" s="261" t="s">
        <v>358</v>
      </c>
      <c r="BQ30" s="132" t="s">
        <v>422</v>
      </c>
      <c r="BR30" s="132">
        <v>23.511093139648438</v>
      </c>
      <c r="BS30" s="132">
        <f t="shared" si="11"/>
        <v>8.3648033234617508E-8</v>
      </c>
      <c r="BT30" s="520">
        <f t="shared" si="39"/>
        <v>0.21834014996479903</v>
      </c>
      <c r="BU30" s="672"/>
      <c r="BV30" s="261" t="s">
        <v>389</v>
      </c>
      <c r="BW30" s="132" t="s">
        <v>422</v>
      </c>
      <c r="BX30" s="132">
        <v>34.500705718994141</v>
      </c>
      <c r="BY30" s="132">
        <f t="shared" si="12"/>
        <v>4.1138903026998315E-11</v>
      </c>
      <c r="BZ30" s="520">
        <f t="shared" si="40"/>
        <v>8.4465592491216772E-5</v>
      </c>
      <c r="CA30" s="672"/>
      <c r="CB30" s="261" t="s">
        <v>395</v>
      </c>
      <c r="CC30" s="132" t="s">
        <v>422</v>
      </c>
      <c r="CD30" s="132">
        <v>33.840061187744141</v>
      </c>
      <c r="CE30" s="132">
        <f t="shared" si="13"/>
        <v>6.5031912676610334E-11</v>
      </c>
      <c r="CF30" s="520">
        <f t="shared" si="41"/>
        <v>4.5372806465520333E-5</v>
      </c>
      <c r="CG30" s="672"/>
      <c r="CH30" s="261" t="s">
        <v>402</v>
      </c>
      <c r="CI30" s="132" t="s">
        <v>422</v>
      </c>
      <c r="CJ30" s="132">
        <v>31.294599533081055</v>
      </c>
      <c r="CK30" s="132">
        <f t="shared" si="14"/>
        <v>3.7965300196576702E-10</v>
      </c>
      <c r="CL30" s="520">
        <f t="shared" si="42"/>
        <v>1.7674937043393093E-3</v>
      </c>
      <c r="CM30" s="672"/>
    </row>
    <row r="31" spans="2:91" x14ac:dyDescent="0.25">
      <c r="B31" s="479" t="s">
        <v>350</v>
      </c>
      <c r="C31" s="132" t="s">
        <v>336</v>
      </c>
      <c r="D31" s="132">
        <v>18.344886779785156</v>
      </c>
      <c r="E31" s="122">
        <f t="shared" si="0"/>
        <v>3.0035772917320383E-6</v>
      </c>
      <c r="F31">
        <f t="shared" si="29"/>
        <v>2.5663256122584587E-3</v>
      </c>
      <c r="G31" s="789">
        <f>AVERAGE(F31:F32)</f>
        <v>2.2157813112401881E-3</v>
      </c>
      <c r="H31" s="479">
        <v>28</v>
      </c>
      <c r="I31" s="132" t="s">
        <v>336</v>
      </c>
      <c r="J31" s="132">
        <v>22.683197021484375</v>
      </c>
      <c r="K31" s="122">
        <f t="shared" si="1"/>
        <v>1.4848319330177066E-7</v>
      </c>
      <c r="L31">
        <f t="shared" si="31"/>
        <v>1.0557248361765791E-2</v>
      </c>
      <c r="M31" s="789">
        <f>AVERAGE(L31:L32)</f>
        <v>1.0389049471530552E-2</v>
      </c>
      <c r="N31" s="490">
        <v>5</v>
      </c>
      <c r="O31" s="79" t="s">
        <v>336</v>
      </c>
      <c r="P31" s="79">
        <v>29.574895858764648</v>
      </c>
      <c r="Q31" s="79">
        <f t="shared" si="2"/>
        <v>1.2504583412294907E-9</v>
      </c>
      <c r="R31" s="79">
        <f t="shared" si="32"/>
        <v>1.5382789261643654E-3</v>
      </c>
      <c r="S31" s="789">
        <f>AVERAGE(R31:R32)</f>
        <v>1.5188591943960158E-3</v>
      </c>
      <c r="T31" s="80" t="s">
        <v>359</v>
      </c>
      <c r="U31" s="79" t="s">
        <v>336</v>
      </c>
      <c r="V31" s="79" t="s">
        <v>333</v>
      </c>
      <c r="W31" s="79" t="e">
        <f t="shared" si="3"/>
        <v>#VALUE!</v>
      </c>
      <c r="X31" s="79" t="e">
        <f t="shared" si="30"/>
        <v>#VALUE!</v>
      </c>
      <c r="Y31" s="789" t="e">
        <f>AVERAGE(X31:X32)</f>
        <v>#VALUE!</v>
      </c>
      <c r="Z31" s="261" t="s">
        <v>387</v>
      </c>
      <c r="AA31" s="132" t="s">
        <v>336</v>
      </c>
      <c r="AB31" s="132">
        <v>28.207714080810547</v>
      </c>
      <c r="AC31" s="132">
        <f t="shared" si="4"/>
        <v>3.2257592593405822E-9</v>
      </c>
      <c r="AD31" s="520">
        <f>AC31/$AC$7</f>
        <v>3.0192870111249444E-2</v>
      </c>
      <c r="AE31" s="672">
        <f>AVERAGE(AD31:AD32)</f>
        <v>3.6329819871177262E-2</v>
      </c>
      <c r="AF31" s="261" t="s">
        <v>393</v>
      </c>
      <c r="AG31" s="132" t="s">
        <v>336</v>
      </c>
      <c r="AH31" s="132">
        <v>30.567550659179688</v>
      </c>
      <c r="AI31" s="132">
        <f t="shared" si="5"/>
        <v>6.2842051980283109E-10</v>
      </c>
      <c r="AJ31" s="520">
        <f t="shared" si="33"/>
        <v>9.1702110595910692E-3</v>
      </c>
      <c r="AK31" s="672">
        <f>AVERAGE(AJ31:AJ32)</f>
        <v>8.0321196216546469E-3</v>
      </c>
      <c r="AL31" s="261" t="s">
        <v>400</v>
      </c>
      <c r="AM31" s="132" t="s">
        <v>336</v>
      </c>
      <c r="AN31" s="132">
        <v>31.667453765869141</v>
      </c>
      <c r="AO31" s="132">
        <f t="shared" si="6"/>
        <v>2.9318822901609784E-10</v>
      </c>
      <c r="AP31" s="520">
        <f t="shared" si="34"/>
        <v>3.2478479270328878E-3</v>
      </c>
      <c r="AQ31" s="672">
        <f>AVERAGE(AP31:AP32)</f>
        <v>3.1803728418086244E-3</v>
      </c>
      <c r="AR31" s="261" t="s">
        <v>406</v>
      </c>
      <c r="AS31" s="132" t="s">
        <v>336</v>
      </c>
      <c r="AT31" s="122">
        <v>30.972738265991211</v>
      </c>
      <c r="AU31" s="132">
        <f t="shared" si="7"/>
        <v>4.7454427034594047E-10</v>
      </c>
      <c r="AV31" s="79">
        <f t="shared" si="35"/>
        <v>9.3326970546594064E-3</v>
      </c>
      <c r="AW31" s="789">
        <f>AVERAGE(AV31:AV32)</f>
        <v>9.1200436618654717E-3</v>
      </c>
      <c r="AX31" s="261" t="s">
        <v>350</v>
      </c>
      <c r="AY31" s="132" t="s">
        <v>422</v>
      </c>
      <c r="AZ31" s="132">
        <v>27.782150268554688</v>
      </c>
      <c r="BA31" s="132">
        <f t="shared" si="8"/>
        <v>4.3325085168255157E-9</v>
      </c>
      <c r="BB31" s="520">
        <f t="shared" si="36"/>
        <v>1.6551229476615328E-2</v>
      </c>
      <c r="BC31" s="672">
        <f>AVERAGE(BB31:BB32)</f>
        <v>1.4562069703217963E-2</v>
      </c>
      <c r="BD31" s="261" t="s">
        <v>430</v>
      </c>
      <c r="BE31" s="132" t="s">
        <v>422</v>
      </c>
      <c r="BF31" s="132">
        <v>28.562911987304688</v>
      </c>
      <c r="BG31" s="132">
        <f t="shared" si="9"/>
        <v>2.5217772839985367E-9</v>
      </c>
      <c r="BH31" s="520">
        <f t="shared" si="37"/>
        <v>4.3980846266520124E-3</v>
      </c>
      <c r="BI31" s="672">
        <f>AVERAGE(BH31:BH32)</f>
        <v>6.6499002821700133E-3</v>
      </c>
      <c r="BJ31" s="261" t="s">
        <v>440</v>
      </c>
      <c r="BK31" s="132" t="s">
        <v>422</v>
      </c>
      <c r="BL31" s="132">
        <v>30.969619750976563</v>
      </c>
      <c r="BM31" s="132">
        <f t="shared" si="10"/>
        <v>4.755711498894288E-10</v>
      </c>
      <c r="BN31" s="520">
        <f t="shared" si="38"/>
        <v>1.7363329378696681E-3</v>
      </c>
      <c r="BO31" s="672">
        <f>AVERAGE(BN31:BN32)</f>
        <v>2.5170561590869634E-3</v>
      </c>
      <c r="BP31" s="261" t="s">
        <v>359</v>
      </c>
      <c r="BQ31" s="132" t="s">
        <v>422</v>
      </c>
      <c r="BR31" s="132">
        <v>29.200176239013672</v>
      </c>
      <c r="BS31" s="132">
        <f t="shared" si="11"/>
        <v>1.6213287109588306E-9</v>
      </c>
      <c r="BT31" s="520">
        <f t="shared" si="39"/>
        <v>5.2677973344709035E-3</v>
      </c>
      <c r="BU31" s="672">
        <f>AVERAGE(BT31:BT32)</f>
        <v>6.4978407082742105E-3</v>
      </c>
      <c r="BV31" s="261" t="s">
        <v>390</v>
      </c>
      <c r="BW31" s="132" t="s">
        <v>422</v>
      </c>
      <c r="BX31" s="132">
        <v>33.306125640869141</v>
      </c>
      <c r="BY31" s="132">
        <f t="shared" si="12"/>
        <v>9.415798213824442E-11</v>
      </c>
      <c r="BZ31" s="520">
        <f t="shared" si="40"/>
        <v>6.5637046238766974E-5</v>
      </c>
      <c r="CA31" s="672">
        <f>AVERAGE(BZ31:BZ32)</f>
        <v>8.3732404535169567E-5</v>
      </c>
      <c r="CB31" s="261" t="s">
        <v>396</v>
      </c>
      <c r="CC31" s="132" t="s">
        <v>422</v>
      </c>
      <c r="CD31" s="132">
        <v>35.928050994873047</v>
      </c>
      <c r="CE31" s="132">
        <f t="shared" si="13"/>
        <v>1.5296038385502599E-11</v>
      </c>
      <c r="CF31" s="520">
        <f t="shared" si="41"/>
        <v>2.251420987607458E-5</v>
      </c>
      <c r="CG31" s="672">
        <f>AVERAGE(CF31:CF32)</f>
        <v>3.6608585038407495E-5</v>
      </c>
      <c r="CH31" s="261" t="s">
        <v>403</v>
      </c>
      <c r="CI31" s="132" t="s">
        <v>422</v>
      </c>
      <c r="CJ31" s="132">
        <v>33.422378540039063</v>
      </c>
      <c r="CK31" s="132">
        <f t="shared" si="14"/>
        <v>8.6868342103731492E-11</v>
      </c>
      <c r="CL31" s="520">
        <f t="shared" si="42"/>
        <v>4.8240498318330126E-3</v>
      </c>
      <c r="CM31" s="672">
        <f>AVERAGE(CL31:CL32)</f>
        <v>5.5599184158587056E-3</v>
      </c>
    </row>
    <row r="32" spans="2:91" x14ac:dyDescent="0.25">
      <c r="B32" s="479" t="s">
        <v>350</v>
      </c>
      <c r="C32" s="132" t="s">
        <v>336</v>
      </c>
      <c r="D32" s="132">
        <v>21.071311950683594</v>
      </c>
      <c r="E32" s="122">
        <f t="shared" si="0"/>
        <v>4.5384029708951858E-7</v>
      </c>
      <c r="F32">
        <f t="shared" si="29"/>
        <v>1.8652370102219178E-3</v>
      </c>
      <c r="G32" s="789"/>
      <c r="H32" s="479">
        <v>28</v>
      </c>
      <c r="I32" s="132" t="s">
        <v>336</v>
      </c>
      <c r="J32" s="132">
        <v>22.682928085327148</v>
      </c>
      <c r="K32" s="122">
        <f t="shared" si="1"/>
        <v>1.4851087498117911E-7</v>
      </c>
      <c r="L32">
        <f t="shared" si="31"/>
        <v>1.0220850581295311E-2</v>
      </c>
      <c r="M32" s="789"/>
      <c r="N32" s="490">
        <v>5</v>
      </c>
      <c r="O32" s="79" t="s">
        <v>336</v>
      </c>
      <c r="P32" s="79">
        <v>29.915904998779297</v>
      </c>
      <c r="Q32" s="79">
        <f t="shared" si="2"/>
        <v>9.8722296152654112E-10</v>
      </c>
      <c r="R32" s="79">
        <f t="shared" si="32"/>
        <v>1.499439462627666E-3</v>
      </c>
      <c r="S32" s="789"/>
      <c r="T32" s="257" t="s">
        <v>359</v>
      </c>
      <c r="U32" s="138" t="s">
        <v>336</v>
      </c>
      <c r="V32" s="138" t="s">
        <v>333</v>
      </c>
      <c r="W32" s="138" t="e">
        <f t="shared" si="3"/>
        <v>#VALUE!</v>
      </c>
      <c r="X32" s="138" t="e">
        <f t="shared" si="30"/>
        <v>#VALUE!</v>
      </c>
      <c r="Y32" s="794"/>
      <c r="Z32" s="261" t="s">
        <v>387</v>
      </c>
      <c r="AA32" s="132" t="s">
        <v>336</v>
      </c>
      <c r="AB32" s="132">
        <v>27.455852508544922</v>
      </c>
      <c r="AC32" s="132">
        <f t="shared" si="4"/>
        <v>5.4320635032888915E-9</v>
      </c>
      <c r="AD32" s="520">
        <f>AC32/$AC$8</f>
        <v>4.2466769631105079E-2</v>
      </c>
      <c r="AE32" s="672"/>
      <c r="AF32" s="261" t="s">
        <v>393</v>
      </c>
      <c r="AG32" s="132" t="s">
        <v>336</v>
      </c>
      <c r="AH32" s="132">
        <v>31.317577362060547</v>
      </c>
      <c r="AI32" s="132">
        <f t="shared" si="5"/>
        <v>3.7365416064282229E-10</v>
      </c>
      <c r="AJ32" s="520">
        <f t="shared" si="33"/>
        <v>6.8940281837182255E-3</v>
      </c>
      <c r="AK32" s="672"/>
      <c r="AL32" s="261" t="s">
        <v>400</v>
      </c>
      <c r="AM32" s="132" t="s">
        <v>336</v>
      </c>
      <c r="AN32" s="132">
        <v>31.853288650512695</v>
      </c>
      <c r="AO32" s="132">
        <f t="shared" si="6"/>
        <v>2.5775355010966353E-10</v>
      </c>
      <c r="AP32" s="520">
        <f t="shared" si="34"/>
        <v>3.1128977565843615E-3</v>
      </c>
      <c r="AQ32" s="672"/>
      <c r="AR32" s="261" t="s">
        <v>406</v>
      </c>
      <c r="AS32" s="132" t="s">
        <v>336</v>
      </c>
      <c r="AT32" s="122">
        <v>29.712076187133789</v>
      </c>
      <c r="AU32" s="132">
        <f t="shared" si="7"/>
        <v>1.137035002496999E-9</v>
      </c>
      <c r="AV32" s="79">
        <f t="shared" si="35"/>
        <v>8.907390269071537E-3</v>
      </c>
      <c r="AW32" s="789"/>
      <c r="AX32" s="261" t="s">
        <v>350</v>
      </c>
      <c r="AY32" s="132" t="s">
        <v>422</v>
      </c>
      <c r="AZ32" s="132">
        <v>28.338491439819336</v>
      </c>
      <c r="BA32" s="132">
        <f t="shared" si="8"/>
        <v>2.9462123437635783E-9</v>
      </c>
      <c r="BB32" s="520">
        <f t="shared" si="36"/>
        <v>1.2572909929820599E-2</v>
      </c>
      <c r="BC32" s="672"/>
      <c r="BD32" s="261" t="s">
        <v>430</v>
      </c>
      <c r="BE32" s="132" t="s">
        <v>422</v>
      </c>
      <c r="BF32" s="132">
        <v>29.009946823120117</v>
      </c>
      <c r="BG32" s="132">
        <f t="shared" si="9"/>
        <v>1.8498471023692156E-9</v>
      </c>
      <c r="BH32" s="520">
        <f t="shared" si="37"/>
        <v>8.9017159376880133E-3</v>
      </c>
      <c r="BI32" s="672"/>
      <c r="BJ32" s="261" t="s">
        <v>440</v>
      </c>
      <c r="BK32" s="132" t="s">
        <v>422</v>
      </c>
      <c r="BL32" s="132">
        <v>30.49359130859375</v>
      </c>
      <c r="BM32" s="132">
        <f t="shared" si="10"/>
        <v>6.614763793644281E-10</v>
      </c>
      <c r="BN32" s="520">
        <f t="shared" si="38"/>
        <v>3.2977793803042584E-3</v>
      </c>
      <c r="BO32" s="672"/>
      <c r="BP32" s="261" t="s">
        <v>359</v>
      </c>
      <c r="BQ32" s="132" t="s">
        <v>422</v>
      </c>
      <c r="BR32" s="132">
        <v>29.339576721191406</v>
      </c>
      <c r="BS32" s="132">
        <f t="shared" si="11"/>
        <v>1.471998430147724E-9</v>
      </c>
      <c r="BT32" s="520">
        <f t="shared" si="39"/>
        <v>7.7278840820775175E-3</v>
      </c>
      <c r="BU32" s="672"/>
      <c r="BV32" s="261" t="s">
        <v>390</v>
      </c>
      <c r="BW32" s="132" t="s">
        <v>422</v>
      </c>
      <c r="BX32" s="132">
        <v>32.805702209472656</v>
      </c>
      <c r="BY32" s="132">
        <f t="shared" si="12"/>
        <v>1.3319858343047697E-10</v>
      </c>
      <c r="BZ32" s="520">
        <f t="shared" si="40"/>
        <v>1.0182776283157216E-4</v>
      </c>
      <c r="CA32" s="672"/>
      <c r="CB32" s="261" t="s">
        <v>396</v>
      </c>
      <c r="CC32" s="132" t="s">
        <v>422</v>
      </c>
      <c r="CD32" s="132">
        <v>34.635818481445313</v>
      </c>
      <c r="CE32" s="132">
        <f t="shared" si="13"/>
        <v>3.7461029868699837E-11</v>
      </c>
      <c r="CF32" s="520">
        <f t="shared" si="41"/>
        <v>5.0702960200740408E-5</v>
      </c>
      <c r="CG32" s="672"/>
      <c r="CH32" s="261" t="s">
        <v>403</v>
      </c>
      <c r="CI32" s="132" t="s">
        <v>422</v>
      </c>
      <c r="CJ32" s="132">
        <v>33.506244659423828</v>
      </c>
      <c r="CK32" s="132">
        <f t="shared" si="14"/>
        <v>8.1962522417358336E-11</v>
      </c>
      <c r="CL32" s="520">
        <f t="shared" si="42"/>
        <v>6.2957869998843986E-3</v>
      </c>
      <c r="CM32" s="672"/>
    </row>
    <row r="33" spans="2:91" x14ac:dyDescent="0.25">
      <c r="B33" s="479" t="s">
        <v>351</v>
      </c>
      <c r="C33" s="132" t="s">
        <v>336</v>
      </c>
      <c r="D33" s="132">
        <v>22.284624099731445</v>
      </c>
      <c r="E33" s="122">
        <f t="shared" si="0"/>
        <v>1.9573104008554374E-7</v>
      </c>
      <c r="F33">
        <f t="shared" si="29"/>
        <v>1.7959352758225142E-3</v>
      </c>
      <c r="G33" s="789">
        <f>AVERAGE(F33:F34)</f>
        <v>1.8774912078048638E-3</v>
      </c>
      <c r="H33" s="479" t="s">
        <v>334</v>
      </c>
      <c r="I33" s="132" t="s">
        <v>336</v>
      </c>
      <c r="J33" s="132">
        <v>25.205266952514648</v>
      </c>
      <c r="K33" s="122">
        <f t="shared" si="1"/>
        <v>2.5849884000858557E-8</v>
      </c>
      <c r="L33">
        <f t="shared" si="31"/>
        <v>4.5906858208477749E-3</v>
      </c>
      <c r="M33" s="789">
        <f>AVERAGE(L33:L34)</f>
        <v>7.9295379297698275E-3</v>
      </c>
      <c r="N33" s="490">
        <v>18</v>
      </c>
      <c r="O33" s="79" t="s">
        <v>336</v>
      </c>
      <c r="P33" s="79">
        <v>30.272542953491211</v>
      </c>
      <c r="Q33" s="79">
        <f t="shared" si="2"/>
        <v>7.7100381320037279E-10</v>
      </c>
      <c r="R33" s="79">
        <f t="shared" si="32"/>
        <v>7.6212985281409512E-4</v>
      </c>
      <c r="S33" s="789">
        <f>AVERAGE(R33:R34)</f>
        <v>7.9683624228420581E-4</v>
      </c>
      <c r="T33" s="496" t="s">
        <v>360</v>
      </c>
      <c r="U33" s="274" t="s">
        <v>360</v>
      </c>
      <c r="V33" s="274" t="s">
        <v>360</v>
      </c>
      <c r="W33" s="274"/>
      <c r="X33" s="274"/>
      <c r="Y33" s="484"/>
      <c r="Z33" s="261" t="s">
        <v>388</v>
      </c>
      <c r="AA33" s="132" t="s">
        <v>336</v>
      </c>
      <c r="AB33" s="132">
        <v>28.514865875244141</v>
      </c>
      <c r="AC33" s="132">
        <f t="shared" si="4"/>
        <v>2.6071741964991023E-9</v>
      </c>
      <c r="AD33" s="520">
        <f>AC33/$AC$9</f>
        <v>0.1221429398338221</v>
      </c>
      <c r="AE33" s="672">
        <f>AVERAGE(AD33:AD34)</f>
        <v>0.12241823922665042</v>
      </c>
      <c r="AF33" s="261" t="s">
        <v>394</v>
      </c>
      <c r="AG33" s="132" t="s">
        <v>336</v>
      </c>
      <c r="AH33" s="132">
        <v>31.967073440551758</v>
      </c>
      <c r="AI33" s="132">
        <f t="shared" si="5"/>
        <v>2.3820562943191998E-10</v>
      </c>
      <c r="AJ33" s="520">
        <f t="shared" si="33"/>
        <v>9.6944493108449617E-3</v>
      </c>
      <c r="AK33" s="672">
        <f>AVERAGE(AJ33:AJ34)</f>
        <v>1.2936756829723114E-2</v>
      </c>
      <c r="AL33" s="261" t="s">
        <v>401</v>
      </c>
      <c r="AM33" s="132" t="s">
        <v>336</v>
      </c>
      <c r="AN33" s="132">
        <v>30.729499816894531</v>
      </c>
      <c r="AO33" s="132">
        <f t="shared" si="6"/>
        <v>5.6169273068985861E-10</v>
      </c>
      <c r="AP33" s="520">
        <f t="shared" si="34"/>
        <v>2.1339593634028521E-2</v>
      </c>
      <c r="AQ33" s="672">
        <f>AVERAGE(AP33:AP34)</f>
        <v>2.5194489134357317E-2</v>
      </c>
      <c r="AR33" s="261" t="s">
        <v>407</v>
      </c>
      <c r="AS33" s="132" t="s">
        <v>336</v>
      </c>
      <c r="AT33" s="122">
        <v>29.447563171386719</v>
      </c>
      <c r="AU33" s="132">
        <f t="shared" si="7"/>
        <v>1.3658411286732585E-9</v>
      </c>
      <c r="AV33" s="79">
        <f t="shared" si="35"/>
        <v>6.8306932033950453E-3</v>
      </c>
      <c r="AW33" s="789">
        <f>AVERAGE(AV33:AV34)</f>
        <v>9.0107704548114242E-3</v>
      </c>
      <c r="AX33" s="261" t="s">
        <v>351</v>
      </c>
      <c r="AY33" s="132" t="s">
        <v>422</v>
      </c>
      <c r="AZ33" s="132">
        <v>29.847806930541992</v>
      </c>
      <c r="BA33" s="132">
        <f t="shared" si="8"/>
        <v>1.0349391338809943E-9</v>
      </c>
      <c r="BB33" s="520">
        <f t="shared" si="36"/>
        <v>7.1845911737905208E-3</v>
      </c>
      <c r="BC33" s="672">
        <f>BB33</f>
        <v>7.1845911737905208E-3</v>
      </c>
      <c r="BD33" s="261" t="s">
        <v>334</v>
      </c>
      <c r="BE33" s="132" t="s">
        <v>422</v>
      </c>
      <c r="BF33" s="132">
        <v>29.389123916625977</v>
      </c>
      <c r="BG33" s="132">
        <f t="shared" si="9"/>
        <v>1.4223030940978481E-9</v>
      </c>
      <c r="BH33" s="520">
        <f t="shared" si="37"/>
        <v>5.7141162753500526E-3</v>
      </c>
      <c r="BI33" s="672">
        <f>AVERAGE(BH33:BH34)</f>
        <v>5.407313054630567E-3</v>
      </c>
      <c r="BJ33" s="261" t="s">
        <v>441</v>
      </c>
      <c r="BK33" s="132" t="s">
        <v>422</v>
      </c>
      <c r="BL33" s="132">
        <v>25.661565780639648</v>
      </c>
      <c r="BM33" s="132">
        <f t="shared" si="10"/>
        <v>1.8840783726280367E-8</v>
      </c>
      <c r="BN33" s="520">
        <f t="shared" si="38"/>
        <v>3.8758935542434009E-2</v>
      </c>
      <c r="BO33" s="672">
        <f>AVERAGE(BN33:BN34)</f>
        <v>4.8092729253696467E-2</v>
      </c>
      <c r="BP33" s="261" t="s">
        <v>386</v>
      </c>
      <c r="BQ33" s="132" t="s">
        <v>422</v>
      </c>
      <c r="BR33" s="132">
        <v>35.081005096435547</v>
      </c>
      <c r="BS33" s="132">
        <f t="shared" si="11"/>
        <v>2.7514725721211242E-11</v>
      </c>
      <c r="BT33" s="520">
        <f t="shared" si="39"/>
        <v>1.4481492984926498E-2</v>
      </c>
      <c r="BU33" s="672">
        <f>AVERAGE(BT33:BT34)</f>
        <v>1.5320990087875762E-2</v>
      </c>
      <c r="BV33" s="261" t="s">
        <v>392</v>
      </c>
      <c r="BW33" s="132" t="s">
        <v>422</v>
      </c>
      <c r="BX33" s="132">
        <v>33.271858215332031</v>
      </c>
      <c r="BY33" s="132">
        <f t="shared" si="12"/>
        <v>9.642122965243074E-11</v>
      </c>
      <c r="BZ33" s="520">
        <f t="shared" si="40"/>
        <v>9.6666521570634121E-5</v>
      </c>
      <c r="CA33" s="672">
        <f>AVERAGE(BZ33:BZ34)</f>
        <v>1.0208650763432059E-4</v>
      </c>
      <c r="CB33" s="261" t="s">
        <v>399</v>
      </c>
      <c r="CC33" s="132" t="s">
        <v>422</v>
      </c>
      <c r="CD33" s="132">
        <v>31.977260589599609</v>
      </c>
      <c r="CE33" s="132">
        <f t="shared" si="13"/>
        <v>2.365295379238196E-10</v>
      </c>
      <c r="CF33" s="520">
        <f t="shared" si="41"/>
        <v>2.1505818995362018E-4</v>
      </c>
      <c r="CG33" s="672">
        <f>AVERAGE(CF33:CF34)</f>
        <v>1.8946613258378537E-4</v>
      </c>
      <c r="CH33" s="261" t="s">
        <v>405</v>
      </c>
      <c r="CI33" s="132" t="s">
        <v>422</v>
      </c>
      <c r="CJ33" s="132">
        <v>31.984914779663086</v>
      </c>
      <c r="CK33" s="132">
        <f t="shared" si="14"/>
        <v>2.3527795818060466E-10</v>
      </c>
      <c r="CL33" s="520">
        <f t="shared" si="42"/>
        <v>2.0947726206824351E-3</v>
      </c>
      <c r="CM33" s="672">
        <f>AVERAGE(CL33:CL34)</f>
        <v>2.5719987138110084E-3</v>
      </c>
    </row>
    <row r="34" spans="2:91" x14ac:dyDescent="0.25">
      <c r="B34" s="479" t="s">
        <v>351</v>
      </c>
      <c r="C34" s="132" t="s">
        <v>336</v>
      </c>
      <c r="D34" s="132">
        <v>21.535261154174805</v>
      </c>
      <c r="E34" s="122">
        <f t="shared" si="0"/>
        <v>3.2903373559403768E-7</v>
      </c>
      <c r="F34">
        <f t="shared" si="29"/>
        <v>1.9590471397872133E-3</v>
      </c>
      <c r="G34" s="789"/>
      <c r="H34" s="479" t="s">
        <v>334</v>
      </c>
      <c r="I34" s="132" t="s">
        <v>336</v>
      </c>
      <c r="J34" s="132">
        <v>23.712884902954102</v>
      </c>
      <c r="K34" s="122">
        <f t="shared" si="1"/>
        <v>7.2729459571185047E-8</v>
      </c>
      <c r="L34">
        <f t="shared" si="31"/>
        <v>1.1268390038691879E-2</v>
      </c>
      <c r="M34" s="789"/>
      <c r="N34" s="490">
        <v>18</v>
      </c>
      <c r="O34" s="79" t="s">
        <v>336</v>
      </c>
      <c r="P34" s="79">
        <v>30.11778450012207</v>
      </c>
      <c r="Q34" s="79">
        <f t="shared" si="2"/>
        <v>8.58308596975616E-10</v>
      </c>
      <c r="R34" s="79">
        <f t="shared" si="32"/>
        <v>8.3154263175431651E-4</v>
      </c>
      <c r="S34" s="789"/>
      <c r="T34" s="496" t="s">
        <v>360</v>
      </c>
      <c r="U34" s="274" t="s">
        <v>360</v>
      </c>
      <c r="V34" s="274" t="s">
        <v>360</v>
      </c>
      <c r="W34" s="274"/>
      <c r="X34" s="274"/>
      <c r="Y34" s="484"/>
      <c r="Z34" s="261" t="s">
        <v>388</v>
      </c>
      <c r="AA34" s="132" t="s">
        <v>336</v>
      </c>
      <c r="AB34" s="132">
        <v>28.589664459228516</v>
      </c>
      <c r="AC34" s="132">
        <f t="shared" si="4"/>
        <v>2.4754458565995696E-9</v>
      </c>
      <c r="AD34" s="520">
        <f>AC34/$AC$10</f>
        <v>0.12269353861947874</v>
      </c>
      <c r="AE34" s="672"/>
      <c r="AF34" s="261" t="s">
        <v>394</v>
      </c>
      <c r="AG34" s="132" t="s">
        <v>336</v>
      </c>
      <c r="AH34" s="132">
        <v>31.990242004394531</v>
      </c>
      <c r="AI34" s="132">
        <f t="shared" si="5"/>
        <v>2.3441078439419288E-10</v>
      </c>
      <c r="AJ34" s="520">
        <f t="shared" si="33"/>
        <v>1.6179064348601266E-2</v>
      </c>
      <c r="AK34" s="672"/>
      <c r="AL34" s="261" t="s">
        <v>401</v>
      </c>
      <c r="AM34" s="132" t="s">
        <v>336</v>
      </c>
      <c r="AN34" s="132">
        <v>30.992963790893555</v>
      </c>
      <c r="AO34" s="132">
        <f t="shared" si="6"/>
        <v>4.6793792445848518E-10</v>
      </c>
      <c r="AP34" s="520">
        <f t="shared" si="34"/>
        <v>2.9049384634686114E-2</v>
      </c>
      <c r="AQ34" s="672"/>
      <c r="AR34" s="261" t="s">
        <v>407</v>
      </c>
      <c r="AS34" s="132" t="s">
        <v>336</v>
      </c>
      <c r="AT34" s="122">
        <v>29.404037475585938</v>
      </c>
      <c r="AU34" s="132">
        <f t="shared" si="7"/>
        <v>1.4076760648175208E-9</v>
      </c>
      <c r="AV34" s="79">
        <f t="shared" si="35"/>
        <v>1.1190847706227802E-2</v>
      </c>
      <c r="AW34" s="789"/>
      <c r="AX34" s="261" t="s">
        <v>351</v>
      </c>
      <c r="AY34" s="132" t="s">
        <v>422</v>
      </c>
      <c r="AZ34" s="132" t="s">
        <v>333</v>
      </c>
      <c r="BA34" s="132" t="e">
        <f t="shared" si="8"/>
        <v>#VALUE!</v>
      </c>
      <c r="BB34" s="520" t="e">
        <f t="shared" si="36"/>
        <v>#VALUE!</v>
      </c>
      <c r="BC34" s="672"/>
      <c r="BD34" s="261" t="s">
        <v>334</v>
      </c>
      <c r="BE34" s="132" t="s">
        <v>422</v>
      </c>
      <c r="BF34" s="132">
        <v>30.065280914306641</v>
      </c>
      <c r="BG34" s="132">
        <f t="shared" si="9"/>
        <v>8.9012011779515198E-10</v>
      </c>
      <c r="BH34" s="520">
        <f t="shared" si="37"/>
        <v>5.1005098339110813E-3</v>
      </c>
      <c r="BI34" s="672"/>
      <c r="BJ34" s="261" t="s">
        <v>441</v>
      </c>
      <c r="BK34" s="132" t="s">
        <v>422</v>
      </c>
      <c r="BL34" s="132">
        <v>26.057220458984375</v>
      </c>
      <c r="BM34" s="132">
        <f t="shared" si="10"/>
        <v>1.4321715367224514E-8</v>
      </c>
      <c r="BN34" s="520">
        <f t="shared" si="38"/>
        <v>5.7426522964958933E-2</v>
      </c>
      <c r="BO34" s="672"/>
      <c r="BP34" s="261" t="s">
        <v>386</v>
      </c>
      <c r="BQ34" s="132" t="s">
        <v>422</v>
      </c>
      <c r="BR34" s="132">
        <v>34.756458282470703</v>
      </c>
      <c r="BS34" s="132">
        <f t="shared" si="11"/>
        <v>3.44558933048462E-11</v>
      </c>
      <c r="BT34" s="520">
        <f t="shared" si="39"/>
        <v>1.6160487190825024E-2</v>
      </c>
      <c r="BU34" s="672"/>
      <c r="BV34" s="261" t="s">
        <v>392</v>
      </c>
      <c r="BW34" s="132" t="s">
        <v>422</v>
      </c>
      <c r="BX34" s="132">
        <v>32.8758544921875</v>
      </c>
      <c r="BY34" s="132">
        <f t="shared" si="12"/>
        <v>1.2687663877549929E-10</v>
      </c>
      <c r="BZ34" s="520">
        <f t="shared" si="40"/>
        <v>1.0750649369800706E-4</v>
      </c>
      <c r="CA34" s="672"/>
      <c r="CB34" s="261" t="s">
        <v>399</v>
      </c>
      <c r="CC34" s="132" t="s">
        <v>422</v>
      </c>
      <c r="CD34" s="132">
        <v>32.757469177246094</v>
      </c>
      <c r="CE34" s="132">
        <f t="shared" si="13"/>
        <v>1.3772703422461149E-10</v>
      </c>
      <c r="CF34" s="520">
        <f t="shared" si="41"/>
        <v>1.638740752139506E-4</v>
      </c>
      <c r="CG34" s="672"/>
      <c r="CH34" s="261" t="s">
        <v>405</v>
      </c>
      <c r="CI34" s="132" t="s">
        <v>422</v>
      </c>
      <c r="CJ34" s="132">
        <v>31.879055023193359</v>
      </c>
      <c r="CK34" s="132">
        <f t="shared" si="14"/>
        <v>2.5319096533109686E-10</v>
      </c>
      <c r="CL34" s="520">
        <f t="shared" si="42"/>
        <v>3.0492248069395821E-3</v>
      </c>
      <c r="CM34" s="672"/>
    </row>
    <row r="35" spans="2:91" x14ac:dyDescent="0.25">
      <c r="B35" s="479" t="s">
        <v>352</v>
      </c>
      <c r="C35" s="132" t="s">
        <v>336</v>
      </c>
      <c r="D35" s="132">
        <v>19.121116638183594</v>
      </c>
      <c r="E35" s="122">
        <f t="shared" si="0"/>
        <v>1.7537607305537479E-6</v>
      </c>
      <c r="F35">
        <f t="shared" si="29"/>
        <v>5.3021423906041499E-3</v>
      </c>
      <c r="G35" s="789">
        <f>AVERAGE(F35:F36)</f>
        <v>5.0018585097461737E-3</v>
      </c>
      <c r="H35" s="479">
        <v>19</v>
      </c>
      <c r="I35" s="132" t="s">
        <v>336</v>
      </c>
      <c r="J35" s="132">
        <v>26.754400253295898</v>
      </c>
      <c r="K35" s="122">
        <f t="shared" si="1"/>
        <v>8.8333005571165238E-9</v>
      </c>
      <c r="L35">
        <f t="shared" si="31"/>
        <v>1.4063660815514542E-3</v>
      </c>
      <c r="M35" s="789">
        <f>AVERAGE(L35:L36)</f>
        <v>1.8803191967070713E-3</v>
      </c>
      <c r="N35" s="490">
        <v>4</v>
      </c>
      <c r="O35" s="79" t="s">
        <v>336</v>
      </c>
      <c r="P35" s="79">
        <v>29.825366973876953</v>
      </c>
      <c r="Q35" s="79">
        <f t="shared" si="2"/>
        <v>1.0511626211380564E-9</v>
      </c>
      <c r="R35" s="79">
        <f t="shared" si="32"/>
        <v>4.4863522050483056E-4</v>
      </c>
      <c r="S35" s="789">
        <f>AVERAGE(R35:R36)</f>
        <v>8.5591385193537872E-4</v>
      </c>
      <c r="T35" s="496" t="s">
        <v>360</v>
      </c>
      <c r="U35" s="274" t="s">
        <v>360</v>
      </c>
      <c r="V35" s="274" t="s">
        <v>360</v>
      </c>
      <c r="W35" s="274"/>
      <c r="X35" s="274"/>
      <c r="Y35" s="484"/>
      <c r="Z35" s="261" t="s">
        <v>389</v>
      </c>
      <c r="AA35" s="132" t="s">
        <v>336</v>
      </c>
      <c r="AB35" s="132">
        <v>27.879003524780273</v>
      </c>
      <c r="AC35" s="132">
        <f t="shared" si="4"/>
        <v>4.0512000542719911E-9</v>
      </c>
      <c r="AD35" s="520">
        <f>AC35/$AC$11</f>
        <v>0.30296110922167568</v>
      </c>
      <c r="AE35" s="672">
        <f>AVERAGE(AD35:AD36)</f>
        <v>0.340444365368333</v>
      </c>
      <c r="AF35" s="261" t="s">
        <v>395</v>
      </c>
      <c r="AG35" s="132" t="s">
        <v>336</v>
      </c>
      <c r="AH35" s="132">
        <v>31.443208694458008</v>
      </c>
      <c r="AI35" s="132">
        <f t="shared" si="5"/>
        <v>3.4249246642022888E-10</v>
      </c>
      <c r="AJ35" s="520">
        <f t="shared" si="33"/>
        <v>1.0889086912783156E-2</v>
      </c>
      <c r="AK35" s="672">
        <f>AVERAGE(AJ35:AJ36)</f>
        <v>1.0359356432375769E-2</v>
      </c>
      <c r="AL35" s="261" t="s">
        <v>402</v>
      </c>
      <c r="AM35" s="132" t="s">
        <v>336</v>
      </c>
      <c r="AN35" s="132">
        <v>30.063791275024414</v>
      </c>
      <c r="AO35" s="132">
        <f t="shared" si="6"/>
        <v>8.9103967642898155E-10</v>
      </c>
      <c r="AP35" s="520">
        <f t="shared" si="34"/>
        <v>3.5383586177259621E-3</v>
      </c>
      <c r="AQ35" s="672">
        <f>AVERAGE(AP35:AP36)</f>
        <v>4.212994504765687E-3</v>
      </c>
      <c r="AR35" s="525" t="s">
        <v>360</v>
      </c>
      <c r="AS35" s="396" t="s">
        <v>360</v>
      </c>
      <c r="AT35" s="526" t="s">
        <v>360</v>
      </c>
      <c r="AU35" s="396"/>
      <c r="AV35" s="498"/>
      <c r="AW35" s="871"/>
      <c r="AX35" s="261" t="s">
        <v>352</v>
      </c>
      <c r="AY35" s="132" t="s">
        <v>422</v>
      </c>
      <c r="AZ35" s="132">
        <v>28.436296463012695</v>
      </c>
      <c r="BA35" s="132">
        <f t="shared" si="8"/>
        <v>2.7530988121242662E-9</v>
      </c>
      <c r="BB35" s="520">
        <f t="shared" si="36"/>
        <v>5.4918157797580192E-3</v>
      </c>
      <c r="BC35" s="672">
        <f>AVERAGE(BB35:BB36)</f>
        <v>6.6561106153425927E-3</v>
      </c>
      <c r="BD35" s="261" t="s">
        <v>431</v>
      </c>
      <c r="BE35" s="132" t="s">
        <v>422</v>
      </c>
      <c r="BF35" s="132">
        <v>28.464151382446289</v>
      </c>
      <c r="BG35" s="132">
        <f t="shared" si="9"/>
        <v>2.7004530606450248E-9</v>
      </c>
      <c r="BH35" s="520">
        <f t="shared" si="37"/>
        <v>1.65134388126736E-2</v>
      </c>
      <c r="BI35" s="672">
        <f>AVERAGE(BH35:BH36)</f>
        <v>1.2753159973529427E-2</v>
      </c>
      <c r="BJ35" s="261" t="s">
        <v>442</v>
      </c>
      <c r="BK35" s="132" t="s">
        <v>422</v>
      </c>
      <c r="BL35" s="132">
        <v>27.729949951171875</v>
      </c>
      <c r="BM35" s="132">
        <f t="shared" si="10"/>
        <v>4.4921400373496702E-9</v>
      </c>
      <c r="BN35" s="520">
        <f t="shared" si="38"/>
        <v>1.1914371540286475E-2</v>
      </c>
      <c r="BO35" s="672">
        <f>AVERAGE(BN35)</f>
        <v>1.1914371540286475E-2</v>
      </c>
      <c r="BP35" s="261" t="s">
        <v>387</v>
      </c>
      <c r="BQ35" s="132" t="s">
        <v>422</v>
      </c>
      <c r="BR35" s="132">
        <v>32.234706878662109</v>
      </c>
      <c r="BS35" s="132">
        <f t="shared" si="11"/>
        <v>1.9787290423910093E-10</v>
      </c>
      <c r="BT35" s="520">
        <f t="shared" si="39"/>
        <v>8.0852553233755967E-3</v>
      </c>
      <c r="BU35" s="672">
        <f>AVERAGE(BT35:BT36)</f>
        <v>5.5854423507593334E-3</v>
      </c>
      <c r="BV35" s="261" t="s">
        <v>393</v>
      </c>
      <c r="BW35" s="132" t="s">
        <v>422</v>
      </c>
      <c r="BX35" s="132">
        <v>31.927648544311523</v>
      </c>
      <c r="BY35" s="132">
        <f t="shared" si="12"/>
        <v>2.4480489479849732E-10</v>
      </c>
      <c r="BZ35" s="520">
        <f t="shared" si="40"/>
        <v>1.1012363974676049E-4</v>
      </c>
      <c r="CA35" s="672">
        <f>AVERAGE(BZ35:BZ36)</f>
        <v>1.284982390956845E-4</v>
      </c>
      <c r="CB35" s="261" t="s">
        <v>400</v>
      </c>
      <c r="CC35" s="132" t="s">
        <v>422</v>
      </c>
      <c r="CD35" s="132">
        <v>31.213459014892578</v>
      </c>
      <c r="CE35" s="132">
        <f t="shared" si="13"/>
        <v>4.0161744421815033E-10</v>
      </c>
      <c r="CF35" s="520">
        <f t="shared" si="41"/>
        <v>1.684467875925567E-4</v>
      </c>
      <c r="CG35" s="672">
        <f>AVERAGE(CF35:CF36)</f>
        <v>2.0556048167351472E-4</v>
      </c>
      <c r="CH35" s="261" t="s">
        <v>406</v>
      </c>
      <c r="CI35" s="132" t="s">
        <v>422</v>
      </c>
      <c r="CJ35" s="132">
        <v>31.735218048095703</v>
      </c>
      <c r="CK35" s="132">
        <f t="shared" si="14"/>
        <v>2.7973541260506594E-10</v>
      </c>
      <c r="CL35" s="520">
        <f t="shared" si="42"/>
        <v>2.2321148145375896E-3</v>
      </c>
      <c r="CM35" s="672">
        <f>AVERAGE(CL35:CL36)</f>
        <v>2.2251500983331727E-3</v>
      </c>
    </row>
    <row r="36" spans="2:91" x14ac:dyDescent="0.25">
      <c r="B36" s="479" t="s">
        <v>352</v>
      </c>
      <c r="C36" s="132" t="s">
        <v>336</v>
      </c>
      <c r="D36" s="132">
        <v>20.845827102661133</v>
      </c>
      <c r="E36" s="122">
        <f t="shared" si="0"/>
        <v>5.3061650859871773E-7</v>
      </c>
      <c r="F36">
        <f t="shared" si="29"/>
        <v>4.7015746288881976E-3</v>
      </c>
      <c r="G36" s="789"/>
      <c r="H36" s="479">
        <v>19</v>
      </c>
      <c r="I36" s="132" t="s">
        <v>336</v>
      </c>
      <c r="J36" s="132">
        <v>25.905471801757813</v>
      </c>
      <c r="K36" s="122">
        <f t="shared" si="1"/>
        <v>1.5910210874655445E-8</v>
      </c>
      <c r="L36">
        <f t="shared" si="31"/>
        <v>2.3542723118626886E-3</v>
      </c>
      <c r="M36" s="789"/>
      <c r="N36" s="490">
        <v>4</v>
      </c>
      <c r="O36" s="79" t="s">
        <v>336</v>
      </c>
      <c r="P36" s="79">
        <v>29.908775329589844</v>
      </c>
      <c r="Q36" s="79">
        <f t="shared" si="2"/>
        <v>9.9211380374549488E-10</v>
      </c>
      <c r="R36" s="79">
        <f t="shared" si="32"/>
        <v>1.2631924833659269E-3</v>
      </c>
      <c r="S36" s="789"/>
      <c r="T36" s="496" t="s">
        <v>360</v>
      </c>
      <c r="U36" s="274" t="s">
        <v>360</v>
      </c>
      <c r="V36" s="274" t="s">
        <v>360</v>
      </c>
      <c r="W36" s="274"/>
      <c r="X36" s="274"/>
      <c r="Y36" s="484"/>
      <c r="Z36" s="261" t="s">
        <v>389</v>
      </c>
      <c r="AA36" s="132" t="s">
        <v>336</v>
      </c>
      <c r="AB36" s="132">
        <v>28.205350875854492</v>
      </c>
      <c r="AC36" s="132">
        <f t="shared" si="4"/>
        <v>3.2310475406424783E-9</v>
      </c>
      <c r="AD36" s="520">
        <f>AC36/$AC$12</f>
        <v>0.37792762151499032</v>
      </c>
      <c r="AE36" s="672"/>
      <c r="AF36" s="261" t="s">
        <v>395</v>
      </c>
      <c r="AG36" s="132" t="s">
        <v>336</v>
      </c>
      <c r="AH36" s="132">
        <v>31.443706512451172</v>
      </c>
      <c r="AI36" s="132">
        <f t="shared" si="5"/>
        <v>3.423743059673374E-10</v>
      </c>
      <c r="AJ36" s="520">
        <f t="shared" si="33"/>
        <v>9.8296259519683824E-3</v>
      </c>
      <c r="AK36" s="672"/>
      <c r="AL36" s="261" t="s">
        <v>402</v>
      </c>
      <c r="AM36" s="132" t="s">
        <v>336</v>
      </c>
      <c r="AN36" s="132">
        <v>29.817070007324219</v>
      </c>
      <c r="AO36" s="132">
        <f t="shared" si="6"/>
        <v>1.0572252938793135E-9</v>
      </c>
      <c r="AP36" s="520">
        <f t="shared" si="34"/>
        <v>4.8876303918054115E-3</v>
      </c>
      <c r="AQ36" s="672"/>
      <c r="AR36" s="523" t="s">
        <v>360</v>
      </c>
      <c r="AS36" s="272" t="s">
        <v>360</v>
      </c>
      <c r="AT36" s="527" t="s">
        <v>360</v>
      </c>
      <c r="AU36" s="272"/>
      <c r="AV36" s="274"/>
      <c r="AW36" s="872"/>
      <c r="AX36" s="261" t="s">
        <v>352</v>
      </c>
      <c r="AY36" s="132" t="s">
        <v>422</v>
      </c>
      <c r="AZ36" s="132">
        <v>27.91932487487793</v>
      </c>
      <c r="BA36" s="132">
        <f t="shared" si="8"/>
        <v>3.9395421729042346E-9</v>
      </c>
      <c r="BB36" s="520">
        <f t="shared" si="36"/>
        <v>7.8204054509271662E-3</v>
      </c>
      <c r="BC36" s="672"/>
      <c r="BD36" s="261" t="s">
        <v>431</v>
      </c>
      <c r="BE36" s="132" t="s">
        <v>422</v>
      </c>
      <c r="BF36" s="132">
        <v>29.08317756652832</v>
      </c>
      <c r="BG36" s="132">
        <f t="shared" si="9"/>
        <v>1.7582927414267682E-9</v>
      </c>
      <c r="BH36" s="520">
        <f t="shared" si="37"/>
        <v>8.9928811343852558E-3</v>
      </c>
      <c r="BI36" s="672"/>
      <c r="BJ36" s="261" t="s">
        <v>442</v>
      </c>
      <c r="BK36" s="132" t="s">
        <v>422</v>
      </c>
      <c r="BL36" s="132" t="s">
        <v>333</v>
      </c>
      <c r="BM36" s="132" t="e">
        <f t="shared" si="10"/>
        <v>#VALUE!</v>
      </c>
      <c r="BN36" s="520" t="e">
        <f t="shared" si="38"/>
        <v>#VALUE!</v>
      </c>
      <c r="BO36" s="672"/>
      <c r="BP36" s="261" t="s">
        <v>387</v>
      </c>
      <c r="BQ36" s="132" t="s">
        <v>422</v>
      </c>
      <c r="BR36" s="132">
        <v>32.273200988769531</v>
      </c>
      <c r="BS36" s="132">
        <f t="shared" si="11"/>
        <v>1.9266305668863051E-10</v>
      </c>
      <c r="BT36" s="520">
        <f t="shared" si="39"/>
        <v>3.0856293781430697E-3</v>
      </c>
      <c r="BU36" s="672"/>
      <c r="BV36" s="261" t="s">
        <v>393</v>
      </c>
      <c r="BW36" s="132" t="s">
        <v>422</v>
      </c>
      <c r="BX36" s="132">
        <v>32.200386047363281</v>
      </c>
      <c r="BY36" s="132">
        <f t="shared" si="12"/>
        <v>2.0263661767552906E-10</v>
      </c>
      <c r="BZ36" s="520">
        <f t="shared" si="40"/>
        <v>1.4687283844460851E-4</v>
      </c>
      <c r="CA36" s="672"/>
      <c r="CB36" s="261" t="s">
        <v>400</v>
      </c>
      <c r="CC36" s="132" t="s">
        <v>422</v>
      </c>
      <c r="CD36" s="132">
        <v>31.517366409301758</v>
      </c>
      <c r="CE36" s="132">
        <f t="shared" si="13"/>
        <v>3.2533240707854969E-10</v>
      </c>
      <c r="CF36" s="520">
        <f t="shared" si="41"/>
        <v>2.4267417575447273E-4</v>
      </c>
      <c r="CG36" s="672"/>
      <c r="CH36" s="261" t="s">
        <v>406</v>
      </c>
      <c r="CI36" s="132" t="s">
        <v>422</v>
      </c>
      <c r="CJ36" s="132">
        <v>31.634559631347656</v>
      </c>
      <c r="CK36" s="132">
        <f t="shared" si="14"/>
        <v>2.9994985155638844E-10</v>
      </c>
      <c r="CL36" s="520">
        <f t="shared" si="42"/>
        <v>2.2181853821287554E-3</v>
      </c>
      <c r="CM36" s="672"/>
    </row>
    <row r="37" spans="2:91" x14ac:dyDescent="0.25">
      <c r="B37" s="479" t="s">
        <v>353</v>
      </c>
      <c r="C37" s="132" t="s">
        <v>336</v>
      </c>
      <c r="D37" s="132">
        <v>23.744338989257813</v>
      </c>
      <c r="E37" s="122">
        <f t="shared" si="0"/>
        <v>7.1160949955703553E-8</v>
      </c>
      <c r="F37">
        <f t="shared" si="29"/>
        <v>2.9419492777392073E-2</v>
      </c>
      <c r="G37" s="789">
        <f>AVERAGE(F37:F38)</f>
        <v>1.51901770692725E-2</v>
      </c>
      <c r="H37" s="479">
        <v>20</v>
      </c>
      <c r="I37" s="132" t="s">
        <v>336</v>
      </c>
      <c r="J37" s="132">
        <v>23.759096145629883</v>
      </c>
      <c r="K37" s="122">
        <f t="shared" si="1"/>
        <v>7.043676316776018E-8</v>
      </c>
      <c r="L37">
        <f t="shared" si="31"/>
        <v>9.62179548863752E-3</v>
      </c>
      <c r="M37" s="789">
        <f>AVERAGE(L37:L38)</f>
        <v>5.8129598044893444E-3</v>
      </c>
      <c r="N37" s="490" t="s">
        <v>356</v>
      </c>
      <c r="O37" s="79" t="s">
        <v>336</v>
      </c>
      <c r="P37" s="79">
        <v>28.990097045898438</v>
      </c>
      <c r="Q37" s="79">
        <f t="shared" si="2"/>
        <v>1.8754747088334148E-9</v>
      </c>
      <c r="R37" s="79">
        <f t="shared" si="32"/>
        <v>2.1815117974958343E-3</v>
      </c>
      <c r="S37" s="789">
        <f>AVERAGE(R37:R38)</f>
        <v>1.7400370303882048E-3</v>
      </c>
      <c r="T37" s="496" t="s">
        <v>360</v>
      </c>
      <c r="U37" s="274" t="s">
        <v>360</v>
      </c>
      <c r="V37" s="274" t="s">
        <v>360</v>
      </c>
      <c r="W37" s="274"/>
      <c r="X37" s="274"/>
      <c r="Y37" s="484"/>
      <c r="Z37" s="261" t="s">
        <v>390</v>
      </c>
      <c r="AA37" s="132" t="s">
        <v>336</v>
      </c>
      <c r="AB37" s="132">
        <v>16.808366775512695</v>
      </c>
      <c r="AC37" s="132">
        <f t="shared" si="4"/>
        <v>8.7131947765089689E-6</v>
      </c>
      <c r="AD37" s="520">
        <f>AC37/$AC$13</f>
        <v>223.98830337775451</v>
      </c>
      <c r="AE37" s="672">
        <f>AVERAGE(AD37:AD38)</f>
        <v>112.14795353705972</v>
      </c>
      <c r="AF37" s="261" t="s">
        <v>396</v>
      </c>
      <c r="AG37" s="132" t="s">
        <v>336</v>
      </c>
      <c r="AH37" s="132">
        <v>31.805429458618164</v>
      </c>
      <c r="AI37" s="132">
        <f t="shared" si="5"/>
        <v>2.6644753573427502E-10</v>
      </c>
      <c r="AJ37" s="520">
        <f t="shared" si="33"/>
        <v>1.1314772196034552E-2</v>
      </c>
      <c r="AK37" s="672">
        <f>AVERAGE(AJ37:AJ38)</f>
        <v>8.1299398333038522E-3</v>
      </c>
      <c r="AL37" s="261" t="s">
        <v>403</v>
      </c>
      <c r="AM37" s="132" t="s">
        <v>336</v>
      </c>
      <c r="AN37" s="132">
        <v>30.822486877441406</v>
      </c>
      <c r="AO37" s="132">
        <f t="shared" si="6"/>
        <v>5.2663159269372413E-10</v>
      </c>
      <c r="AP37" s="520">
        <f t="shared" si="34"/>
        <v>2.3207822952143124E-2</v>
      </c>
      <c r="AQ37" s="672">
        <f>AVERAGE(AP37:AP38)</f>
        <v>2.5144319930841645E-2</v>
      </c>
      <c r="AR37" s="523" t="s">
        <v>360</v>
      </c>
      <c r="AS37" s="272" t="s">
        <v>360</v>
      </c>
      <c r="AT37" s="527" t="s">
        <v>360</v>
      </c>
      <c r="AU37" s="272"/>
      <c r="AV37" s="274"/>
      <c r="AW37" s="872"/>
      <c r="AX37" s="261" t="s">
        <v>353</v>
      </c>
      <c r="AY37" s="132" t="s">
        <v>422</v>
      </c>
      <c r="AZ37" s="132">
        <v>29.350118637084961</v>
      </c>
      <c r="BA37" s="132">
        <f t="shared" si="8"/>
        <v>1.4612815936579806E-9</v>
      </c>
      <c r="BB37" s="520">
        <f t="shared" si="36"/>
        <v>1.4645922873070774E-2</v>
      </c>
      <c r="BC37" s="672">
        <f>AVERAGE(BB37:BB38)</f>
        <v>1.4258273418805343E-2</v>
      </c>
      <c r="BD37" s="261" t="s">
        <v>432</v>
      </c>
      <c r="BE37" s="132" t="s">
        <v>422</v>
      </c>
      <c r="BF37" s="132">
        <v>27.883869171142578</v>
      </c>
      <c r="BG37" s="132">
        <f t="shared" si="9"/>
        <v>4.0375599545656811E-9</v>
      </c>
      <c r="BH37" s="520">
        <f t="shared" si="37"/>
        <v>7.7956514304986469E-3</v>
      </c>
      <c r="BI37" s="672">
        <f>AVERAGE(BH37:BH38)</f>
        <v>7.4440004843105423E-3</v>
      </c>
      <c r="BJ37" s="261" t="s">
        <v>356</v>
      </c>
      <c r="BK37" s="132" t="s">
        <v>422</v>
      </c>
      <c r="BL37" s="132">
        <v>29.166475296020508</v>
      </c>
      <c r="BM37" s="132">
        <f t="shared" si="10"/>
        <v>1.6596483102682632E-9</v>
      </c>
      <c r="BN37" s="520">
        <f t="shared" si="38"/>
        <v>4.371759672216825E-3</v>
      </c>
      <c r="BO37" s="672">
        <f>AVERAGE(BN37:BN38)</f>
        <v>3.4414533180416968E-3</v>
      </c>
      <c r="BP37" s="261" t="s">
        <v>388</v>
      </c>
      <c r="BQ37" s="132" t="s">
        <v>422</v>
      </c>
      <c r="BR37" s="132">
        <v>35.911396026611328</v>
      </c>
      <c r="BS37" s="132">
        <f t="shared" si="11"/>
        <v>1.5473644318476594E-11</v>
      </c>
      <c r="BT37" s="520">
        <f t="shared" si="39"/>
        <v>1.8401409371045492E-3</v>
      </c>
      <c r="BU37" s="672">
        <f>AVERAGE(BT37:BT38)</f>
        <v>2.0498377320644617E-3</v>
      </c>
      <c r="BV37" s="261" t="s">
        <v>394</v>
      </c>
      <c r="BW37" s="132" t="s">
        <v>422</v>
      </c>
      <c r="BX37" s="132">
        <v>34.167476654052734</v>
      </c>
      <c r="BY37" s="132">
        <f t="shared" si="12"/>
        <v>5.1828023973439618E-11</v>
      </c>
      <c r="BZ37" s="520">
        <f t="shared" si="40"/>
        <v>1.6302742130639753E-4</v>
      </c>
      <c r="CA37" s="672">
        <f>AVERAGE(BZ37:BZ38)</f>
        <v>1.0483333613487038E-4</v>
      </c>
      <c r="CB37" s="261" t="s">
        <v>401</v>
      </c>
      <c r="CC37" s="132" t="s">
        <v>422</v>
      </c>
      <c r="CD37" s="132">
        <v>32.923782348632813</v>
      </c>
      <c r="CE37" s="132">
        <f t="shared" si="13"/>
        <v>1.2273090660924524E-10</v>
      </c>
      <c r="CF37" s="520">
        <f t="shared" si="41"/>
        <v>1.421716185873319E-4</v>
      </c>
      <c r="CG37" s="672">
        <f>AVERAGE(CF37:CF38)</f>
        <v>1.6696472911596576E-4</v>
      </c>
      <c r="CH37" s="261" t="s">
        <v>407</v>
      </c>
      <c r="CI37" s="132" t="s">
        <v>422</v>
      </c>
      <c r="CJ37" s="132">
        <v>33.061325073242188</v>
      </c>
      <c r="CK37" s="132">
        <f t="shared" si="14"/>
        <v>1.1157051983148115E-10</v>
      </c>
      <c r="CL37" s="520">
        <f t="shared" si="42"/>
        <v>1.0572277789418429E-3</v>
      </c>
      <c r="CM37" s="672">
        <f>AVERAGE(CL37:CL38)</f>
        <v>1.1177635177829835E-3</v>
      </c>
    </row>
    <row r="38" spans="2:91" ht="15.75" thickBot="1" x14ac:dyDescent="0.3">
      <c r="B38" s="480" t="s">
        <v>353</v>
      </c>
      <c r="C38" s="203" t="s">
        <v>336</v>
      </c>
      <c r="D38" s="203">
        <v>25.610183715820313</v>
      </c>
      <c r="E38" s="123">
        <f t="shared" si="0"/>
        <v>1.9523896965845657E-8</v>
      </c>
      <c r="F38" s="6">
        <f t="shared" si="29"/>
        <v>9.6086136115292725E-4</v>
      </c>
      <c r="G38" s="790"/>
      <c r="H38" s="480">
        <v>20</v>
      </c>
      <c r="I38" s="203" t="s">
        <v>336</v>
      </c>
      <c r="J38" s="203">
        <v>25.830831527709961</v>
      </c>
      <c r="K38" s="123">
        <f t="shared" si="1"/>
        <v>1.6755017941364676E-8</v>
      </c>
      <c r="L38" s="6">
        <f t="shared" si="31"/>
        <v>2.0041241203411692E-3</v>
      </c>
      <c r="M38" s="790"/>
      <c r="N38" s="491" t="s">
        <v>356</v>
      </c>
      <c r="O38" s="82" t="s">
        <v>336</v>
      </c>
      <c r="P38" s="82">
        <v>29.409809112548828</v>
      </c>
      <c r="Q38" s="82">
        <f t="shared" si="2"/>
        <v>1.4020557743021527E-9</v>
      </c>
      <c r="R38" s="82">
        <f t="shared" si="32"/>
        <v>1.2985622632805751E-3</v>
      </c>
      <c r="S38" s="790"/>
      <c r="T38" s="497" t="s">
        <v>360</v>
      </c>
      <c r="U38" s="493" t="s">
        <v>360</v>
      </c>
      <c r="V38" s="493" t="s">
        <v>360</v>
      </c>
      <c r="W38" s="493"/>
      <c r="X38" s="493"/>
      <c r="Y38" s="485"/>
      <c r="Z38" s="262" t="s">
        <v>390</v>
      </c>
      <c r="AA38" s="203" t="s">
        <v>336</v>
      </c>
      <c r="AB38" s="203">
        <v>26.626180648803711</v>
      </c>
      <c r="AC38" s="203">
        <f t="shared" si="4"/>
        <v>9.6543036608231868E-9</v>
      </c>
      <c r="AD38" s="521">
        <f>AC38/$AC$14</f>
        <v>0.30760369636492263</v>
      </c>
      <c r="AE38" s="672"/>
      <c r="AF38" s="262" t="s">
        <v>396</v>
      </c>
      <c r="AG38" s="203" t="s">
        <v>336</v>
      </c>
      <c r="AH38" s="203">
        <v>32.513706207275391</v>
      </c>
      <c r="AI38" s="203">
        <f t="shared" si="5"/>
        <v>1.6307942120567206E-10</v>
      </c>
      <c r="AJ38" s="521">
        <f t="shared" si="33"/>
        <v>4.9451074705731523E-3</v>
      </c>
      <c r="AK38" s="672"/>
      <c r="AL38" s="262" t="s">
        <v>403</v>
      </c>
      <c r="AM38" s="203" t="s">
        <v>336</v>
      </c>
      <c r="AN38" s="203">
        <v>30.412239074707031</v>
      </c>
      <c r="AO38" s="203">
        <f t="shared" si="6"/>
        <v>6.9984812469405002E-10</v>
      </c>
      <c r="AP38" s="521">
        <f t="shared" si="34"/>
        <v>2.7080816909540166E-2</v>
      </c>
      <c r="AQ38" s="672"/>
      <c r="AR38" s="524" t="s">
        <v>360</v>
      </c>
      <c r="AS38" s="278" t="s">
        <v>360</v>
      </c>
      <c r="AT38" s="528" t="s">
        <v>360</v>
      </c>
      <c r="AU38" s="278"/>
      <c r="AV38" s="493"/>
      <c r="AW38" s="873"/>
      <c r="AX38" s="262" t="s">
        <v>353</v>
      </c>
      <c r="AY38" s="203" t="s">
        <v>422</v>
      </c>
      <c r="AZ38" s="203">
        <v>29.170852661132813</v>
      </c>
      <c r="BA38" s="203">
        <f t="shared" si="8"/>
        <v>1.6546203063332907E-9</v>
      </c>
      <c r="BB38" s="521">
        <f t="shared" si="36"/>
        <v>1.387062396453991E-2</v>
      </c>
      <c r="BC38" s="672"/>
      <c r="BD38" s="262" t="s">
        <v>432</v>
      </c>
      <c r="BE38" s="203" t="s">
        <v>422</v>
      </c>
      <c r="BF38" s="203">
        <v>29.988950729370117</v>
      </c>
      <c r="BG38" s="203">
        <f t="shared" si="9"/>
        <v>9.3848274479249055E-10</v>
      </c>
      <c r="BH38" s="521">
        <f t="shared" si="37"/>
        <v>7.0923495381224368E-3</v>
      </c>
      <c r="BI38" s="672"/>
      <c r="BJ38" s="262" t="s">
        <v>356</v>
      </c>
      <c r="BK38" s="203" t="s">
        <v>422</v>
      </c>
      <c r="BL38" s="203">
        <v>29.91545295715332</v>
      </c>
      <c r="BM38" s="203">
        <f t="shared" si="10"/>
        <v>9.8753233792413698E-10</v>
      </c>
      <c r="BN38" s="521">
        <f t="shared" si="38"/>
        <v>2.5111469638665691E-3</v>
      </c>
      <c r="BO38" s="672"/>
      <c r="BP38" s="262" t="s">
        <v>388</v>
      </c>
      <c r="BQ38" s="203" t="s">
        <v>422</v>
      </c>
      <c r="BR38" s="203">
        <v>36.12237548828125</v>
      </c>
      <c r="BS38" s="203">
        <f t="shared" si="11"/>
        <v>1.3368462538203478E-11</v>
      </c>
      <c r="BT38" s="521">
        <f t="shared" si="39"/>
        <v>2.2595345270243739E-3</v>
      </c>
      <c r="BU38" s="672"/>
      <c r="BV38" s="262" t="s">
        <v>394</v>
      </c>
      <c r="BW38" s="203" t="s">
        <v>422</v>
      </c>
      <c r="BX38" s="203">
        <v>35.926830291748047</v>
      </c>
      <c r="BY38" s="203">
        <f t="shared" si="12"/>
        <v>1.5308986252490632E-11</v>
      </c>
      <c r="BZ38" s="521">
        <f t="shared" si="40"/>
        <v>4.6639250963343225E-5</v>
      </c>
      <c r="CA38" s="672"/>
      <c r="CB38" s="262" t="s">
        <v>401</v>
      </c>
      <c r="CC38" s="203" t="s">
        <v>422</v>
      </c>
      <c r="CD38" s="203">
        <v>32.51129150390625</v>
      </c>
      <c r="CE38" s="203">
        <f t="shared" si="13"/>
        <v>1.6335260309877105E-10</v>
      </c>
      <c r="CF38" s="521">
        <f t="shared" si="41"/>
        <v>1.9175783964459964E-4</v>
      </c>
      <c r="CG38" s="672"/>
      <c r="CH38" s="262" t="s">
        <v>407</v>
      </c>
      <c r="CI38" s="203" t="s">
        <v>422</v>
      </c>
      <c r="CJ38" s="203">
        <v>32.941848754882813</v>
      </c>
      <c r="CK38" s="203">
        <f t="shared" si="14"/>
        <v>1.2120357004877562E-10</v>
      </c>
      <c r="CL38" s="521">
        <f t="shared" si="42"/>
        <v>1.1782992566241241E-3</v>
      </c>
      <c r="CM38" s="672"/>
    </row>
    <row r="39" spans="2:91" x14ac:dyDescent="0.25">
      <c r="B39" s="478" t="s">
        <v>331</v>
      </c>
      <c r="C39" s="202" t="s">
        <v>337</v>
      </c>
      <c r="D39" s="202" t="s">
        <v>333</v>
      </c>
      <c r="E39" s="443" t="e">
        <f t="shared" si="0"/>
        <v>#VALUE!</v>
      </c>
      <c r="F39" s="8" t="e">
        <f t="shared" ref="F39:F50" si="43">E39/E3</f>
        <v>#VALUE!</v>
      </c>
      <c r="G39" s="487"/>
      <c r="H39" s="478" t="s">
        <v>331</v>
      </c>
      <c r="I39" s="202" t="s">
        <v>337</v>
      </c>
      <c r="J39" s="202" t="s">
        <v>333</v>
      </c>
      <c r="K39" s="443" t="e">
        <f t="shared" si="1"/>
        <v>#VALUE!</v>
      </c>
      <c r="L39" s="8" t="e">
        <f>K39/K3</f>
        <v>#VALUE!</v>
      </c>
      <c r="M39" s="487"/>
      <c r="N39" s="489" t="s">
        <v>331</v>
      </c>
      <c r="O39" s="251" t="s">
        <v>337</v>
      </c>
      <c r="P39" s="251">
        <v>36.938488006591797</v>
      </c>
      <c r="Q39" s="251">
        <f t="shared" si="2"/>
        <v>7.5928901284220123E-12</v>
      </c>
      <c r="R39" s="251" t="e">
        <f>Q39/Q3</f>
        <v>#VALUE!</v>
      </c>
      <c r="S39" s="487"/>
      <c r="T39" s="375" t="s">
        <v>331</v>
      </c>
      <c r="U39" s="251" t="s">
        <v>337</v>
      </c>
      <c r="V39" s="251">
        <v>27.360956192016602</v>
      </c>
      <c r="W39" s="251">
        <f t="shared" si="3"/>
        <v>5.8013821740105248E-9</v>
      </c>
      <c r="X39" s="251">
        <f t="shared" ref="X39:X44" si="44">W39/W3</f>
        <v>824.62010786992789</v>
      </c>
      <c r="Y39" s="487"/>
      <c r="Z39" s="452" t="s">
        <v>331</v>
      </c>
      <c r="AA39" s="202" t="s">
        <v>337</v>
      </c>
      <c r="AB39" s="202">
        <v>32.213027954101563</v>
      </c>
      <c r="AC39" s="202">
        <f t="shared" si="4"/>
        <v>2.0086873042484046E-10</v>
      </c>
      <c r="AD39" s="514" t="e">
        <f>AC39/$AC$3</f>
        <v>#VALUE!</v>
      </c>
      <c r="AE39" s="400"/>
      <c r="AF39" s="452" t="s">
        <v>331</v>
      </c>
      <c r="AG39" s="202" t="s">
        <v>337</v>
      </c>
      <c r="AH39" s="202">
        <v>36.930416107177734</v>
      </c>
      <c r="AI39" s="202">
        <f t="shared" si="5"/>
        <v>7.6354915240011793E-12</v>
      </c>
      <c r="AJ39" s="514">
        <f>AI39/AI3</f>
        <v>0.44972011033461934</v>
      </c>
      <c r="AK39" s="400"/>
      <c r="AL39" s="452" t="s">
        <v>331</v>
      </c>
      <c r="AM39" s="202" t="s">
        <v>337</v>
      </c>
      <c r="AN39" s="202" t="s">
        <v>333</v>
      </c>
      <c r="AO39" s="202" t="e">
        <f t="shared" si="6"/>
        <v>#VALUE!</v>
      </c>
      <c r="AP39" s="514" t="e">
        <f>AO39/AO3</f>
        <v>#VALUE!</v>
      </c>
      <c r="AQ39" s="400"/>
      <c r="AR39" s="452" t="s">
        <v>331</v>
      </c>
      <c r="AS39" s="202" t="s">
        <v>337</v>
      </c>
      <c r="AT39" s="443" t="s">
        <v>333</v>
      </c>
      <c r="AU39" s="202" t="e">
        <f t="shared" si="7"/>
        <v>#VALUE!</v>
      </c>
      <c r="AV39" s="251" t="e">
        <f>AU39/AU3</f>
        <v>#VALUE!</v>
      </c>
      <c r="AW39" s="487"/>
      <c r="AX39" s="452" t="s">
        <v>331</v>
      </c>
      <c r="AY39" s="202" t="s">
        <v>423</v>
      </c>
      <c r="AZ39" s="202">
        <v>36.937515258789063</v>
      </c>
      <c r="BA39" s="202">
        <f t="shared" si="8"/>
        <v>7.5980114170940321E-12</v>
      </c>
      <c r="BB39" s="514" t="e">
        <f>BA39/BA3</f>
        <v>#VALUE!</v>
      </c>
      <c r="BC39" s="400"/>
      <c r="BD39" s="452" t="s">
        <v>331</v>
      </c>
      <c r="BE39" s="202" t="s">
        <v>423</v>
      </c>
      <c r="BF39" s="202">
        <v>36.885643005371094</v>
      </c>
      <c r="BG39" s="202">
        <f t="shared" si="9"/>
        <v>7.8761693581731357E-12</v>
      </c>
      <c r="BH39" s="514" t="e">
        <f>BG39/BG3</f>
        <v>#VALUE!</v>
      </c>
      <c r="BI39" s="400"/>
      <c r="BJ39" s="452" t="s">
        <v>331</v>
      </c>
      <c r="BK39" s="202" t="s">
        <v>423</v>
      </c>
      <c r="BL39" s="202">
        <v>37.045368194580078</v>
      </c>
      <c r="BM39" s="202">
        <f t="shared" si="10"/>
        <v>7.050711960641218E-12</v>
      </c>
      <c r="BN39" s="514" t="e">
        <f>BM39/BM3</f>
        <v>#VALUE!</v>
      </c>
      <c r="BO39" s="400"/>
      <c r="BP39" s="452" t="s">
        <v>331</v>
      </c>
      <c r="BQ39" s="202" t="s">
        <v>423</v>
      </c>
      <c r="BR39" s="202">
        <v>37.060260772705078</v>
      </c>
      <c r="BS39" s="202">
        <f t="shared" si="11"/>
        <v>6.9783036036637779E-12</v>
      </c>
      <c r="BT39" s="514">
        <f>BS39/BS3</f>
        <v>1.7962261582470348E-3</v>
      </c>
      <c r="BU39" s="400"/>
      <c r="BV39" s="452" t="s">
        <v>331</v>
      </c>
      <c r="BW39" s="202" t="s">
        <v>423</v>
      </c>
      <c r="BX39" s="202">
        <v>30.247560501098633</v>
      </c>
      <c r="BY39" s="202">
        <f t="shared" si="12"/>
        <v>7.8447118082558122E-10</v>
      </c>
      <c r="BZ39" s="514" t="e">
        <f>BY39/BY3</f>
        <v>#VALUE!</v>
      </c>
      <c r="CA39" s="400"/>
      <c r="CB39" s="452" t="s">
        <v>331</v>
      </c>
      <c r="CC39" s="202" t="s">
        <v>423</v>
      </c>
      <c r="CD39" s="202">
        <v>37.033725738525391</v>
      </c>
      <c r="CE39" s="202">
        <f t="shared" si="13"/>
        <v>7.1078409556377693E-12</v>
      </c>
      <c r="CF39" s="514" t="e">
        <f>CE39/CE3</f>
        <v>#VALUE!</v>
      </c>
      <c r="CG39" s="400"/>
      <c r="CH39" s="452" t="s">
        <v>331</v>
      </c>
      <c r="CI39" s="202" t="s">
        <v>423</v>
      </c>
      <c r="CJ39" s="202">
        <v>35.223243713378906</v>
      </c>
      <c r="CK39" s="202">
        <f t="shared" si="14"/>
        <v>2.4931424747547198E-11</v>
      </c>
      <c r="CL39" s="514" t="e">
        <f>CK39/CK3</f>
        <v>#VALUE!</v>
      </c>
      <c r="CM39" s="400"/>
    </row>
    <row r="40" spans="2:91" x14ac:dyDescent="0.25">
      <c r="B40" s="486" t="s">
        <v>331</v>
      </c>
      <c r="C40" s="134" t="s">
        <v>337</v>
      </c>
      <c r="D40" s="134">
        <v>35.934635162353516</v>
      </c>
      <c r="E40" s="139">
        <f t="shared" si="0"/>
        <v>1.522638942224642E-11</v>
      </c>
      <c r="F40" s="162" t="e">
        <f t="shared" si="43"/>
        <v>#VALUE!</v>
      </c>
      <c r="G40" s="488"/>
      <c r="H40" s="486" t="s">
        <v>331</v>
      </c>
      <c r="I40" s="134" t="s">
        <v>337</v>
      </c>
      <c r="J40" s="134" t="s">
        <v>333</v>
      </c>
      <c r="K40" s="139" t="e">
        <f t="shared" si="1"/>
        <v>#VALUE!</v>
      </c>
      <c r="L40" s="162" t="e">
        <f t="shared" ref="L40:L50" si="45">K40/K4</f>
        <v>#VALUE!</v>
      </c>
      <c r="M40" s="488"/>
      <c r="N40" s="494" t="s">
        <v>331</v>
      </c>
      <c r="O40" s="138" t="s">
        <v>337</v>
      </c>
      <c r="P40" s="138" t="s">
        <v>333</v>
      </c>
      <c r="Q40" s="138" t="e">
        <f t="shared" si="2"/>
        <v>#VALUE!</v>
      </c>
      <c r="R40" s="138" t="e">
        <f t="shared" ref="R40:R50" si="46">Q40/Q4</f>
        <v>#VALUE!</v>
      </c>
      <c r="S40" s="488"/>
      <c r="T40" s="257" t="s">
        <v>331</v>
      </c>
      <c r="U40" s="138" t="s">
        <v>337</v>
      </c>
      <c r="V40" s="138" t="s">
        <v>333</v>
      </c>
      <c r="W40" s="138" t="e">
        <f t="shared" si="3"/>
        <v>#VALUE!</v>
      </c>
      <c r="X40" s="138" t="e">
        <f t="shared" si="44"/>
        <v>#VALUE!</v>
      </c>
      <c r="Y40" s="488"/>
      <c r="Z40" s="513" t="s">
        <v>331</v>
      </c>
      <c r="AA40" s="134" t="s">
        <v>337</v>
      </c>
      <c r="AB40" s="134" t="s">
        <v>333</v>
      </c>
      <c r="AC40" s="134" t="e">
        <f t="shared" si="4"/>
        <v>#VALUE!</v>
      </c>
      <c r="AD40" s="519" t="e">
        <f>AC40/$AC$4</f>
        <v>#VALUE!</v>
      </c>
      <c r="AE40" s="385"/>
      <c r="AF40" s="513" t="s">
        <v>331</v>
      </c>
      <c r="AG40" s="134" t="s">
        <v>337</v>
      </c>
      <c r="AH40" s="134">
        <v>35.573131561279297</v>
      </c>
      <c r="AI40" s="134">
        <f t="shared" si="5"/>
        <v>1.95623200696363E-11</v>
      </c>
      <c r="AJ40" s="519">
        <f t="shared" ref="AJ40:AJ50" si="47">AI40/AI4</f>
        <v>2.5957442094371097</v>
      </c>
      <c r="AK40" s="385"/>
      <c r="AL40" s="513" t="s">
        <v>331</v>
      </c>
      <c r="AM40" s="134" t="s">
        <v>337</v>
      </c>
      <c r="AN40" s="134" t="s">
        <v>333</v>
      </c>
      <c r="AO40" s="134" t="e">
        <f t="shared" si="6"/>
        <v>#VALUE!</v>
      </c>
      <c r="AP40" s="519" t="e">
        <f t="shared" ref="AP40:AP50" si="48">AO40/AO4</f>
        <v>#VALUE!</v>
      </c>
      <c r="AQ40" s="385"/>
      <c r="AR40" s="513" t="s">
        <v>331</v>
      </c>
      <c r="AS40" s="134" t="s">
        <v>337</v>
      </c>
      <c r="AT40" s="139" t="s">
        <v>333</v>
      </c>
      <c r="AU40" s="134" t="e">
        <f t="shared" si="7"/>
        <v>#VALUE!</v>
      </c>
      <c r="AV40" s="138" t="e">
        <f t="shared" ref="AV40:AV46" si="49">AU40/AU4</f>
        <v>#VALUE!</v>
      </c>
      <c r="AW40" s="488"/>
      <c r="AX40" s="513" t="s">
        <v>331</v>
      </c>
      <c r="AY40" s="134" t="s">
        <v>423</v>
      </c>
      <c r="AZ40" s="134">
        <v>36.182147979736328</v>
      </c>
      <c r="BA40" s="134">
        <f t="shared" si="8"/>
        <v>1.2825908890126161E-11</v>
      </c>
      <c r="BB40" s="519" t="e">
        <f t="shared" ref="BB40:BB50" si="50">BA40/BA4</f>
        <v>#VALUE!</v>
      </c>
      <c r="BC40" s="385"/>
      <c r="BD40" s="513" t="s">
        <v>331</v>
      </c>
      <c r="BE40" s="134" t="s">
        <v>423</v>
      </c>
      <c r="BF40" s="134">
        <v>35.807941436767578</v>
      </c>
      <c r="BG40" s="134">
        <f t="shared" si="9"/>
        <v>1.662400054893435E-11</v>
      </c>
      <c r="BH40" s="519" t="e">
        <f t="shared" ref="BH40:BH50" si="51">BG40/BG4</f>
        <v>#VALUE!</v>
      </c>
      <c r="BI40" s="385"/>
      <c r="BJ40" s="513" t="s">
        <v>331</v>
      </c>
      <c r="BK40" s="134" t="s">
        <v>423</v>
      </c>
      <c r="BL40" s="134">
        <v>35.735679626464844</v>
      </c>
      <c r="BM40" s="134">
        <f t="shared" si="10"/>
        <v>1.747787049279261E-11</v>
      </c>
      <c r="BN40" s="519" t="e">
        <f t="shared" ref="BN40:BN50" si="52">BM40/BM4</f>
        <v>#VALUE!</v>
      </c>
      <c r="BO40" s="385"/>
      <c r="BP40" s="513" t="s">
        <v>331</v>
      </c>
      <c r="BQ40" s="134" t="s">
        <v>423</v>
      </c>
      <c r="BR40" s="134">
        <v>35.712139129638672</v>
      </c>
      <c r="BS40" s="134">
        <f t="shared" si="11"/>
        <v>1.7765396820917335E-11</v>
      </c>
      <c r="BT40" s="519">
        <f t="shared" ref="BT40:BT50" si="53">BS40/BS4</f>
        <v>1.1613026604418</v>
      </c>
      <c r="BU40" s="385"/>
      <c r="BV40" s="513" t="s">
        <v>331</v>
      </c>
      <c r="BW40" s="134" t="s">
        <v>423</v>
      </c>
      <c r="BX40" s="134">
        <v>37.127643585205078</v>
      </c>
      <c r="BY40" s="134">
        <f t="shared" si="12"/>
        <v>6.6598678632932036E-12</v>
      </c>
      <c r="BZ40" s="519">
        <f t="shared" ref="BZ40:BZ50" si="54">BY40/BY4</f>
        <v>0.98754234779006078</v>
      </c>
      <c r="CA40" s="385"/>
      <c r="CB40" s="513" t="s">
        <v>331</v>
      </c>
      <c r="CC40" s="134" t="s">
        <v>423</v>
      </c>
      <c r="CD40" s="134">
        <v>35.98944091796875</v>
      </c>
      <c r="CE40" s="134">
        <f t="shared" si="13"/>
        <v>1.465881137509281E-11</v>
      </c>
      <c r="CF40" s="519">
        <f t="shared" ref="CF40:CF50" si="55">CE40/CE4</f>
        <v>2.144593466023728</v>
      </c>
      <c r="CG40" s="385"/>
      <c r="CH40" s="513" t="s">
        <v>331</v>
      </c>
      <c r="CI40" s="134" t="s">
        <v>423</v>
      </c>
      <c r="CJ40" s="134">
        <v>37.079402923583984</v>
      </c>
      <c r="CK40" s="134">
        <f t="shared" si="14"/>
        <v>6.8863247354673805E-12</v>
      </c>
      <c r="CL40" s="519" t="e">
        <f t="shared" ref="CL40:CL50" si="56">CK40/CK4</f>
        <v>#VALUE!</v>
      </c>
      <c r="CM40" s="385"/>
    </row>
    <row r="41" spans="2:91" x14ac:dyDescent="0.25">
      <c r="B41" s="479" t="s">
        <v>349</v>
      </c>
      <c r="C41" s="132" t="s">
        <v>337</v>
      </c>
      <c r="D41" s="132">
        <v>17.506891250610352</v>
      </c>
      <c r="E41" s="122">
        <f t="shared" si="0"/>
        <v>5.3690889961739792E-6</v>
      </c>
      <c r="F41">
        <f t="shared" si="43"/>
        <v>2.5988659397783256E-3</v>
      </c>
      <c r="G41" s="789">
        <f>AVERAGE(F41:F42)</f>
        <v>3.7611805312302519E-3</v>
      </c>
      <c r="H41" s="479">
        <v>30</v>
      </c>
      <c r="I41" s="132" t="s">
        <v>337</v>
      </c>
      <c r="J41" s="132">
        <v>19.65373420715332</v>
      </c>
      <c r="K41" s="122">
        <f t="shared" si="1"/>
        <v>1.2123736167655717E-6</v>
      </c>
      <c r="L41">
        <f t="shared" si="45"/>
        <v>0.62777585916115197</v>
      </c>
      <c r="M41" s="789">
        <f>AVERAGE(L41:L42)</f>
        <v>0.37796430516061941</v>
      </c>
      <c r="N41" s="490">
        <v>15</v>
      </c>
      <c r="O41" s="79" t="s">
        <v>337</v>
      </c>
      <c r="P41" s="79">
        <v>18.963996887207031</v>
      </c>
      <c r="Q41" s="79">
        <f t="shared" si="2"/>
        <v>1.9555462837826572E-6</v>
      </c>
      <c r="R41" s="79" t="e">
        <f t="shared" si="46"/>
        <v>#VALUE!</v>
      </c>
      <c r="S41" s="789" t="e">
        <f>AVERAGE(R41:R42)</f>
        <v>#VALUE!</v>
      </c>
      <c r="T41" s="80" t="s">
        <v>358</v>
      </c>
      <c r="U41" s="79" t="s">
        <v>337</v>
      </c>
      <c r="V41" s="79">
        <v>17.636005401611328</v>
      </c>
      <c r="W41" s="79">
        <f t="shared" si="3"/>
        <v>4.9094559809831301E-6</v>
      </c>
      <c r="X41" s="79">
        <f t="shared" si="44"/>
        <v>0.64112385868017419</v>
      </c>
      <c r="Y41" s="789" t="e">
        <f>AVERAGE(X41:X42)</f>
        <v>#VALUE!</v>
      </c>
      <c r="Z41" s="261" t="s">
        <v>386</v>
      </c>
      <c r="AA41" s="132" t="s">
        <v>337</v>
      </c>
      <c r="AB41" s="132">
        <v>19.628013610839844</v>
      </c>
      <c r="AC41" s="132">
        <f t="shared" si="4"/>
        <v>1.2341818286536662E-6</v>
      </c>
      <c r="AD41" s="520">
        <f>AC41/$AC$5</f>
        <v>111.39049682830336</v>
      </c>
      <c r="AE41" s="676">
        <f>AVERAGE(AD41:AD42)</f>
        <v>117.51561481147672</v>
      </c>
      <c r="AF41" s="261" t="s">
        <v>392</v>
      </c>
      <c r="AG41" s="132" t="s">
        <v>337</v>
      </c>
      <c r="AH41" s="132">
        <v>21.185798645019531</v>
      </c>
      <c r="AI41" s="132">
        <f t="shared" si="5"/>
        <v>4.1921723166807059E-7</v>
      </c>
      <c r="AJ41" s="520">
        <f t="shared" si="47"/>
        <v>7.1394340139622887</v>
      </c>
      <c r="AK41" s="676">
        <f>AVERAGE(AJ41:AJ42)</f>
        <v>8.3814854931185323</v>
      </c>
      <c r="AL41" s="261" t="s">
        <v>399</v>
      </c>
      <c r="AM41" s="132" t="s">
        <v>337</v>
      </c>
      <c r="AN41" s="132">
        <v>22.214807510375977</v>
      </c>
      <c r="AO41" s="132">
        <f t="shared" si="6"/>
        <v>2.0543601942199097E-7</v>
      </c>
      <c r="AP41" s="520">
        <f t="shared" si="48"/>
        <v>7.8645213495311488</v>
      </c>
      <c r="AQ41" s="676">
        <f>AVERAGE(AP41:AP42)</f>
        <v>7.5689726218250826</v>
      </c>
      <c r="AR41" s="261" t="s">
        <v>405</v>
      </c>
      <c r="AS41" s="132" t="s">
        <v>337</v>
      </c>
      <c r="AT41" s="122">
        <v>20.976890563964844</v>
      </c>
      <c r="AU41" s="132">
        <f t="shared" si="7"/>
        <v>4.8453675279685333E-7</v>
      </c>
      <c r="AV41" s="79">
        <f t="shared" si="49"/>
        <v>3.652965543931241</v>
      </c>
      <c r="AW41" s="789">
        <f>AVERAGE(AV41:AV42)</f>
        <v>4.1791616671327958</v>
      </c>
      <c r="AX41" s="261" t="s">
        <v>349</v>
      </c>
      <c r="AY41" s="132" t="s">
        <v>423</v>
      </c>
      <c r="AZ41" s="132">
        <v>23.367744445800781</v>
      </c>
      <c r="BA41" s="132">
        <f t="shared" si="8"/>
        <v>9.2386388601992254E-8</v>
      </c>
      <c r="BB41" s="520">
        <f t="shared" si="50"/>
        <v>0.18236863158245784</v>
      </c>
      <c r="BC41" s="676">
        <f>AVERAGE(BB41:BB42)</f>
        <v>0.16506302601869882</v>
      </c>
      <c r="BD41" s="261" t="s">
        <v>429</v>
      </c>
      <c r="BE41" s="132" t="s">
        <v>423</v>
      </c>
      <c r="BF41" s="132">
        <v>25.557462692260742</v>
      </c>
      <c r="BG41" s="132">
        <f t="shared" si="9"/>
        <v>2.0250563686589002E-8</v>
      </c>
      <c r="BH41" s="520">
        <f t="shared" si="51"/>
        <v>5.3708273173060761E-2</v>
      </c>
      <c r="BI41" s="676">
        <f>AVERAGE(BH41:BH42)</f>
        <v>5.8637087655495794E-2</v>
      </c>
      <c r="BJ41" s="261" t="s">
        <v>439</v>
      </c>
      <c r="BK41" s="132" t="s">
        <v>423</v>
      </c>
      <c r="BL41" s="132">
        <v>24.931480407714844</v>
      </c>
      <c r="BM41" s="132">
        <f t="shared" si="10"/>
        <v>3.1251909713691639E-8</v>
      </c>
      <c r="BN41" s="520">
        <f t="shared" si="52"/>
        <v>8.7799494592962518E-2</v>
      </c>
      <c r="BO41" s="676">
        <f>AVERAGE(BN41:BN42)</f>
        <v>0.10250706639261015</v>
      </c>
      <c r="BP41" s="261" t="s">
        <v>358</v>
      </c>
      <c r="BQ41" s="132" t="s">
        <v>423</v>
      </c>
      <c r="BR41" s="132">
        <v>22.327362060546875</v>
      </c>
      <c r="BS41" s="132">
        <f t="shared" si="11"/>
        <v>1.9001780443773906E-7</v>
      </c>
      <c r="BT41" s="520">
        <f t="shared" si="53"/>
        <v>0.37884208267712771</v>
      </c>
      <c r="BU41" s="676">
        <f>AVERAGE(BT41:BT42)</f>
        <v>0.44264771454423779</v>
      </c>
      <c r="BV41" s="261" t="s">
        <v>389</v>
      </c>
      <c r="BW41" s="132" t="s">
        <v>423</v>
      </c>
      <c r="BX41" s="132">
        <v>24.431436538696289</v>
      </c>
      <c r="BY41" s="132">
        <f t="shared" si="12"/>
        <v>4.4198218512302407E-8</v>
      </c>
      <c r="BZ41" s="520">
        <f t="shared" si="54"/>
        <v>7.9719164709771778E-2</v>
      </c>
      <c r="CA41" s="676">
        <f>AVERAGE(BZ41:BZ42)</f>
        <v>7.9792164525371273E-2</v>
      </c>
      <c r="CB41" s="261" t="s">
        <v>395</v>
      </c>
      <c r="CC41" s="132" t="s">
        <v>423</v>
      </c>
      <c r="CD41" s="132">
        <v>25.967056274414063</v>
      </c>
      <c r="CE41" s="132">
        <f t="shared" si="13"/>
        <v>1.5245341681700055E-8</v>
      </c>
      <c r="CF41" s="520">
        <f t="shared" si="55"/>
        <v>9.9732120547569303E-3</v>
      </c>
      <c r="CG41" s="676">
        <f>AVERAGE(CF41:CF42)</f>
        <v>9.197023763063715E-3</v>
      </c>
      <c r="CH41" s="261" t="s">
        <v>402</v>
      </c>
      <c r="CI41" s="132" t="s">
        <v>423</v>
      </c>
      <c r="CJ41" s="132">
        <v>23.474527359008789</v>
      </c>
      <c r="CK41" s="132">
        <f t="shared" si="14"/>
        <v>8.5795227643142744E-8</v>
      </c>
      <c r="CL41" s="520">
        <f t="shared" si="56"/>
        <v>0.77146434539601139</v>
      </c>
      <c r="CM41" s="676">
        <f>AVERAGE(CL41:CL42)</f>
        <v>0.68525866971818106</v>
      </c>
    </row>
    <row r="42" spans="2:91" x14ac:dyDescent="0.25">
      <c r="B42" s="479" t="s">
        <v>349</v>
      </c>
      <c r="C42" s="132" t="s">
        <v>337</v>
      </c>
      <c r="D42" s="132">
        <v>17.440511703491211</v>
      </c>
      <c r="E42" s="122">
        <f t="shared" si="0"/>
        <v>5.6218963913304602E-6</v>
      </c>
      <c r="F42">
        <f t="shared" si="43"/>
        <v>4.9234951226821777E-3</v>
      </c>
      <c r="G42" s="789"/>
      <c r="H42" s="479">
        <v>30</v>
      </c>
      <c r="I42" s="132" t="s">
        <v>337</v>
      </c>
      <c r="J42" s="132">
        <v>19.849157333374023</v>
      </c>
      <c r="K42" s="122">
        <f t="shared" si="1"/>
        <v>1.05878615572411E-6</v>
      </c>
      <c r="L42">
        <f t="shared" si="45"/>
        <v>0.12815275116008681</v>
      </c>
      <c r="M42" s="789"/>
      <c r="N42" s="490">
        <v>15</v>
      </c>
      <c r="O42" s="79" t="s">
        <v>337</v>
      </c>
      <c r="P42" s="79">
        <v>18.986721038818359</v>
      </c>
      <c r="Q42" s="79">
        <f t="shared" si="2"/>
        <v>1.9249854356771626E-6</v>
      </c>
      <c r="R42" s="79">
        <f t="shared" si="46"/>
        <v>2.4398924418743406</v>
      </c>
      <c r="S42" s="789"/>
      <c r="T42" s="80" t="s">
        <v>358</v>
      </c>
      <c r="U42" s="79" t="s">
        <v>337</v>
      </c>
      <c r="V42" s="79" t="s">
        <v>333</v>
      </c>
      <c r="W42" s="79" t="e">
        <f t="shared" si="3"/>
        <v>#VALUE!</v>
      </c>
      <c r="X42" s="79" t="e">
        <f t="shared" si="44"/>
        <v>#VALUE!</v>
      </c>
      <c r="Y42" s="789"/>
      <c r="Z42" s="261" t="s">
        <v>386</v>
      </c>
      <c r="AA42" s="132" t="s">
        <v>337</v>
      </c>
      <c r="AB42" s="132">
        <v>19.709205627441406</v>
      </c>
      <c r="AC42" s="132">
        <f t="shared" si="4"/>
        <v>1.1666428277099887E-6</v>
      </c>
      <c r="AD42" s="520">
        <f>AC42/$AC$6</f>
        <v>123.64073279465008</v>
      </c>
      <c r="AE42" s="672"/>
      <c r="AF42" s="261" t="s">
        <v>392</v>
      </c>
      <c r="AG42" s="132" t="s">
        <v>337</v>
      </c>
      <c r="AH42" s="132">
        <v>21.280664443969727</v>
      </c>
      <c r="AI42" s="132">
        <f t="shared" si="5"/>
        <v>3.9253797226473003E-7</v>
      </c>
      <c r="AJ42" s="520">
        <f t="shared" si="47"/>
        <v>9.6235369722747759</v>
      </c>
      <c r="AK42" s="672"/>
      <c r="AL42" s="261" t="s">
        <v>399</v>
      </c>
      <c r="AM42" s="132" t="s">
        <v>337</v>
      </c>
      <c r="AN42" s="132">
        <v>22.589141845703125</v>
      </c>
      <c r="AO42" s="132">
        <f t="shared" si="6"/>
        <v>1.5848593565281743E-7</v>
      </c>
      <c r="AP42" s="520">
        <f t="shared" si="48"/>
        <v>7.2734238941190172</v>
      </c>
      <c r="AQ42" s="672"/>
      <c r="AR42" s="261" t="s">
        <v>405</v>
      </c>
      <c r="AS42" s="132" t="s">
        <v>337</v>
      </c>
      <c r="AT42" s="122">
        <v>21.13636589050293</v>
      </c>
      <c r="AU42" s="132">
        <f t="shared" si="7"/>
        <v>4.3383028648671857E-7</v>
      </c>
      <c r="AV42" s="79">
        <f t="shared" si="49"/>
        <v>4.7053577903343502</v>
      </c>
      <c r="AW42" s="789"/>
      <c r="AX42" s="261" t="s">
        <v>349</v>
      </c>
      <c r="AY42" s="132" t="s">
        <v>423</v>
      </c>
      <c r="AZ42" s="132">
        <v>23.712594985961914</v>
      </c>
      <c r="BA42" s="132">
        <f t="shared" si="8"/>
        <v>7.2744076398946169E-8</v>
      </c>
      <c r="BB42" s="520">
        <f t="shared" si="50"/>
        <v>0.14775742045493984</v>
      </c>
      <c r="BC42" s="672"/>
      <c r="BD42" s="261" t="s">
        <v>429</v>
      </c>
      <c r="BE42" s="132" t="s">
        <v>423</v>
      </c>
      <c r="BF42" s="132">
        <v>26.688814163208008</v>
      </c>
      <c r="BG42" s="132">
        <f t="shared" si="9"/>
        <v>9.2441373189603948E-9</v>
      </c>
      <c r="BH42" s="520">
        <f t="shared" si="51"/>
        <v>6.3565902137930827E-2</v>
      </c>
      <c r="BI42" s="672"/>
      <c r="BJ42" s="261" t="s">
        <v>439</v>
      </c>
      <c r="BK42" s="132" t="s">
        <v>423</v>
      </c>
      <c r="BL42" s="132">
        <v>24.970529556274414</v>
      </c>
      <c r="BM42" s="132">
        <f t="shared" si="10"/>
        <v>3.0417365471194523E-8</v>
      </c>
      <c r="BN42" s="520">
        <f t="shared" si="52"/>
        <v>0.11721463819225776</v>
      </c>
      <c r="BO42" s="672"/>
      <c r="BP42" s="261" t="s">
        <v>358</v>
      </c>
      <c r="BQ42" s="132" t="s">
        <v>423</v>
      </c>
      <c r="BR42" s="132">
        <v>22.2972412109375</v>
      </c>
      <c r="BS42" s="132">
        <f t="shared" si="11"/>
        <v>1.9402673470376204E-7</v>
      </c>
      <c r="BT42" s="520">
        <f t="shared" si="53"/>
        <v>0.50645334641134787</v>
      </c>
      <c r="BU42" s="672"/>
      <c r="BV42" s="261" t="s">
        <v>389</v>
      </c>
      <c r="BW42" s="132" t="s">
        <v>423</v>
      </c>
      <c r="BX42" s="132">
        <v>24.615718841552734</v>
      </c>
      <c r="BY42" s="132">
        <f t="shared" si="12"/>
        <v>3.8898267971069187E-8</v>
      </c>
      <c r="BZ42" s="520">
        <f t="shared" si="54"/>
        <v>7.9865164340970754E-2</v>
      </c>
      <c r="CA42" s="672"/>
      <c r="CB42" s="261" t="s">
        <v>395</v>
      </c>
      <c r="CC42" s="132" t="s">
        <v>423</v>
      </c>
      <c r="CD42" s="132">
        <v>26.304069519042969</v>
      </c>
      <c r="CE42" s="132">
        <f t="shared" si="13"/>
        <v>1.2069410726321685E-8</v>
      </c>
      <c r="CF42" s="520">
        <f t="shared" si="55"/>
        <v>8.420835471370498E-3</v>
      </c>
      <c r="CG42" s="672"/>
      <c r="CH42" s="261" t="s">
        <v>402</v>
      </c>
      <c r="CI42" s="132" t="s">
        <v>423</v>
      </c>
      <c r="CJ42" s="132">
        <v>22.889764785766602</v>
      </c>
      <c r="CK42" s="132">
        <f t="shared" si="14"/>
        <v>1.2867500855343315E-7</v>
      </c>
      <c r="CL42" s="520">
        <f t="shared" si="56"/>
        <v>0.59905299404035073</v>
      </c>
      <c r="CM42" s="672"/>
    </row>
    <row r="43" spans="2:91" x14ac:dyDescent="0.25">
      <c r="B43" s="479" t="s">
        <v>350</v>
      </c>
      <c r="C43" s="132" t="s">
        <v>337</v>
      </c>
      <c r="D43" s="132">
        <v>19.169746398925781</v>
      </c>
      <c r="E43" s="122">
        <f t="shared" si="0"/>
        <v>1.6956309093798207E-6</v>
      </c>
      <c r="F43">
        <f t="shared" si="43"/>
        <v>1.4487861003800511E-3</v>
      </c>
      <c r="G43" s="789">
        <f>AVERAGE(F43:F44)</f>
        <v>3.9247490696457362E-3</v>
      </c>
      <c r="H43" s="479">
        <v>28</v>
      </c>
      <c r="I43" s="132" t="s">
        <v>337</v>
      </c>
      <c r="J43" s="132">
        <v>19.116010665893555</v>
      </c>
      <c r="K43" s="122">
        <f t="shared" si="1"/>
        <v>1.7599786201712661E-6</v>
      </c>
      <c r="L43">
        <f t="shared" si="45"/>
        <v>0.12513558599715505</v>
      </c>
      <c r="M43" s="789">
        <f>AVERAGE(L43:L44)</f>
        <v>0.11532996110321077</v>
      </c>
      <c r="N43" s="490">
        <v>5</v>
      </c>
      <c r="O43" s="79" t="s">
        <v>337</v>
      </c>
      <c r="P43" s="79">
        <v>18.317840576171875</v>
      </c>
      <c r="Q43" s="79">
        <f t="shared" si="2"/>
        <v>3.0604164719392008E-6</v>
      </c>
      <c r="R43" s="79">
        <f t="shared" si="46"/>
        <v>3.7648388665563499</v>
      </c>
      <c r="S43" s="789">
        <f>AVERAGE(R43:R44)</f>
        <v>3.6926081838612057</v>
      </c>
      <c r="T43" s="80" t="s">
        <v>359</v>
      </c>
      <c r="U43" s="79" t="s">
        <v>337</v>
      </c>
      <c r="V43" s="79" t="s">
        <v>333</v>
      </c>
      <c r="W43" s="79" t="e">
        <f t="shared" si="3"/>
        <v>#VALUE!</v>
      </c>
      <c r="X43" s="79" t="e">
        <f t="shared" si="44"/>
        <v>#VALUE!</v>
      </c>
      <c r="Y43" s="789" t="e">
        <f>AVERAGE(X43:X44)</f>
        <v>#VALUE!</v>
      </c>
      <c r="Z43" s="261" t="s">
        <v>387</v>
      </c>
      <c r="AA43" s="132" t="s">
        <v>337</v>
      </c>
      <c r="AB43" s="132">
        <v>17.937778472900391</v>
      </c>
      <c r="AC43" s="132">
        <f t="shared" si="4"/>
        <v>3.9828194935942458E-6</v>
      </c>
      <c r="AD43" s="520">
        <f>AC43/$AC$7</f>
        <v>37.278898385996023</v>
      </c>
      <c r="AE43" s="672">
        <f>AVERAGE(AD43:AD44)</f>
        <v>39.930147097261361</v>
      </c>
      <c r="AF43" s="261" t="s">
        <v>393</v>
      </c>
      <c r="AG43" s="132" t="s">
        <v>337</v>
      </c>
      <c r="AH43" s="132">
        <v>21.004953384399414</v>
      </c>
      <c r="AI43" s="132">
        <f t="shared" si="5"/>
        <v>4.7520278121518983E-7</v>
      </c>
      <c r="AJ43" s="520">
        <f t="shared" si="47"/>
        <v>6.9343849580456318</v>
      </c>
      <c r="AK43" s="672">
        <f>AVERAGE(AJ43:AJ44)</f>
        <v>7.1836657957100085</v>
      </c>
      <c r="AL43" s="261" t="s">
        <v>400</v>
      </c>
      <c r="AM43" s="132" t="s">
        <v>337</v>
      </c>
      <c r="AN43" s="132">
        <v>22.470552444458008</v>
      </c>
      <c r="AO43" s="132">
        <f t="shared" si="6"/>
        <v>1.7206387332974536E-7</v>
      </c>
      <c r="AP43" s="520">
        <f t="shared" si="48"/>
        <v>1.9060700226153324</v>
      </c>
      <c r="AQ43" s="672">
        <f>AVERAGE(AP43:AP44)</f>
        <v>1.8728085909523755</v>
      </c>
      <c r="AR43" s="261" t="s">
        <v>406</v>
      </c>
      <c r="AS43" s="132" t="s">
        <v>337</v>
      </c>
      <c r="AT43" s="122">
        <v>21.473031997680664</v>
      </c>
      <c r="AU43" s="132">
        <f t="shared" si="7"/>
        <v>3.4353680388075191E-7</v>
      </c>
      <c r="AV43" s="79">
        <f t="shared" si="49"/>
        <v>6.7562187936812519</v>
      </c>
      <c r="AW43" s="789">
        <f>AVERAGE(AV43:AV44)</f>
        <v>5.3307771187820325</v>
      </c>
      <c r="AX43" s="261" t="s">
        <v>350</v>
      </c>
      <c r="AY43" s="132" t="s">
        <v>423</v>
      </c>
      <c r="AZ43" s="132">
        <v>23.799753189086914</v>
      </c>
      <c r="BA43" s="132">
        <f t="shared" si="8"/>
        <v>6.8479471615478321E-8</v>
      </c>
      <c r="BB43" s="520">
        <f t="shared" si="50"/>
        <v>0.26160812950360185</v>
      </c>
      <c r="BC43" s="672">
        <f>AVERAGE(BB43:BB44)</f>
        <v>0.24807620956072163</v>
      </c>
      <c r="BD43" s="261" t="s">
        <v>430</v>
      </c>
      <c r="BE43" s="132" t="s">
        <v>423</v>
      </c>
      <c r="BF43" s="132">
        <v>25.255813598632813</v>
      </c>
      <c r="BG43" s="132">
        <f t="shared" si="9"/>
        <v>2.495988280821601E-8</v>
      </c>
      <c r="BH43" s="520">
        <f t="shared" si="51"/>
        <v>4.3531075308835404E-2</v>
      </c>
      <c r="BI43" s="672">
        <f>AVERAGE(BH43:BH44)</f>
        <v>6.3449495094981753E-2</v>
      </c>
      <c r="BJ43" s="261" t="s">
        <v>440</v>
      </c>
      <c r="BK43" s="132" t="s">
        <v>423</v>
      </c>
      <c r="BL43" s="132">
        <v>25.138385772705078</v>
      </c>
      <c r="BM43" s="132">
        <f t="shared" si="10"/>
        <v>2.7076457266633081E-8</v>
      </c>
      <c r="BN43" s="520">
        <f t="shared" si="52"/>
        <v>9.8857436166610038E-2</v>
      </c>
      <c r="BO43" s="672">
        <f>AVERAGE(BN43:BN44)</f>
        <v>0.11532303066236382</v>
      </c>
      <c r="BP43" s="261" t="s">
        <v>359</v>
      </c>
      <c r="BQ43" s="132" t="s">
        <v>423</v>
      </c>
      <c r="BR43" s="132">
        <v>23.235986709594727</v>
      </c>
      <c r="BS43" s="132">
        <f t="shared" si="11"/>
        <v>1.0122109276452159E-7</v>
      </c>
      <c r="BT43" s="520">
        <f t="shared" si="53"/>
        <v>0.3288735954980066</v>
      </c>
      <c r="BU43" s="672">
        <f>AVERAGE(BT43:BT44)</f>
        <v>0.40056099513624244</v>
      </c>
      <c r="BV43" s="261" t="s">
        <v>390</v>
      </c>
      <c r="BW43" s="132" t="s">
        <v>423</v>
      </c>
      <c r="BX43" s="132">
        <v>22.671585083007813</v>
      </c>
      <c r="BY43" s="132">
        <f t="shared" si="12"/>
        <v>1.4968312473265748E-7</v>
      </c>
      <c r="BZ43" s="520">
        <f t="shared" si="54"/>
        <v>0.10434333825055513</v>
      </c>
      <c r="CA43" s="672">
        <f>AVERAGE(BZ43:BZ44)</f>
        <v>0.10963229122139748</v>
      </c>
      <c r="CB43" s="261" t="s">
        <v>396</v>
      </c>
      <c r="CC43" s="132" t="s">
        <v>423</v>
      </c>
      <c r="CD43" s="132">
        <v>27.796987533569336</v>
      </c>
      <c r="CE43" s="132">
        <f t="shared" si="13"/>
        <v>4.2881795690099359E-9</v>
      </c>
      <c r="CF43" s="520">
        <f t="shared" si="55"/>
        <v>6.3117633709973489E-3</v>
      </c>
      <c r="CG43" s="672">
        <f>AVERAGE(CF43:CF44)</f>
        <v>6.5197257708106172E-3</v>
      </c>
      <c r="CH43" s="261" t="s">
        <v>403</v>
      </c>
      <c r="CI43" s="132" t="s">
        <v>423</v>
      </c>
      <c r="CJ43" s="132">
        <v>25.383792877197266</v>
      </c>
      <c r="CK43" s="132">
        <f t="shared" si="14"/>
        <v>2.2841096058781393E-8</v>
      </c>
      <c r="CL43" s="520">
        <f t="shared" si="56"/>
        <v>1.2684320079421998</v>
      </c>
      <c r="CM43" s="672">
        <f>AVERAGE(CL43:CL44)</f>
        <v>1.3602479884660545</v>
      </c>
    </row>
    <row r="44" spans="2:91" x14ac:dyDescent="0.25">
      <c r="B44" s="479" t="s">
        <v>350</v>
      </c>
      <c r="C44" s="132" t="s">
        <v>337</v>
      </c>
      <c r="D44" s="132">
        <v>19.292438507080078</v>
      </c>
      <c r="E44" s="122">
        <f t="shared" si="0"/>
        <v>1.5573897780306241E-6</v>
      </c>
      <c r="F44">
        <f t="shared" si="43"/>
        <v>6.4007120389114212E-3</v>
      </c>
      <c r="G44" s="789"/>
      <c r="H44" s="479">
        <v>28</v>
      </c>
      <c r="I44" s="132" t="s">
        <v>337</v>
      </c>
      <c r="J44" s="132">
        <v>19.314939498901367</v>
      </c>
      <c r="K44" s="122">
        <f t="shared" si="1"/>
        <v>1.5332883870669208E-6</v>
      </c>
      <c r="L44">
        <f t="shared" si="45"/>
        <v>0.10552433620926649</v>
      </c>
      <c r="M44" s="789"/>
      <c r="N44" s="490">
        <v>5</v>
      </c>
      <c r="O44" s="79" t="s">
        <v>337</v>
      </c>
      <c r="P44" s="79">
        <v>18.678403854370117</v>
      </c>
      <c r="Q44" s="79">
        <f t="shared" si="2"/>
        <v>2.3836372775475813E-6</v>
      </c>
      <c r="R44" s="79">
        <f t="shared" si="46"/>
        <v>3.6203775011660615</v>
      </c>
      <c r="S44" s="789"/>
      <c r="T44" s="257" t="s">
        <v>359</v>
      </c>
      <c r="U44" s="138" t="s">
        <v>337</v>
      </c>
      <c r="V44" s="138" t="s">
        <v>333</v>
      </c>
      <c r="W44" s="138" t="e">
        <f t="shared" si="3"/>
        <v>#VALUE!</v>
      </c>
      <c r="X44" s="138" t="e">
        <f t="shared" si="44"/>
        <v>#VALUE!</v>
      </c>
      <c r="Y44" s="794"/>
      <c r="Z44" s="261" t="s">
        <v>387</v>
      </c>
      <c r="AA44" s="132" t="s">
        <v>337</v>
      </c>
      <c r="AB44" s="132">
        <v>17.486179351806641</v>
      </c>
      <c r="AC44" s="132">
        <f t="shared" si="4"/>
        <v>5.4467257128306649E-6</v>
      </c>
      <c r="AD44" s="520">
        <f>AC44/$AC$8</f>
        <v>42.5813958085267</v>
      </c>
      <c r="AE44" s="672"/>
      <c r="AF44" s="261" t="s">
        <v>393</v>
      </c>
      <c r="AG44" s="132" t="s">
        <v>337</v>
      </c>
      <c r="AH44" s="132">
        <v>21.243206024169922</v>
      </c>
      <c r="AI44" s="132">
        <f t="shared" si="5"/>
        <v>4.0286337122260804E-7</v>
      </c>
      <c r="AJ44" s="520">
        <f t="shared" si="47"/>
        <v>7.4329466333743852</v>
      </c>
      <c r="AK44" s="672"/>
      <c r="AL44" s="261" t="s">
        <v>400</v>
      </c>
      <c r="AM44" s="132" t="s">
        <v>337</v>
      </c>
      <c r="AN44" s="132">
        <v>22.646411895751953</v>
      </c>
      <c r="AO44" s="132">
        <f t="shared" si="6"/>
        <v>1.5231782344861112E-7</v>
      </c>
      <c r="AP44" s="520">
        <f t="shared" si="48"/>
        <v>1.8395471592894186</v>
      </c>
      <c r="AQ44" s="672"/>
      <c r="AR44" s="261" t="s">
        <v>406</v>
      </c>
      <c r="AS44" s="132" t="s">
        <v>337</v>
      </c>
      <c r="AT44" s="122">
        <v>20.935848236083984</v>
      </c>
      <c r="AU44" s="132">
        <f t="shared" si="7"/>
        <v>4.9851897829214229E-7</v>
      </c>
      <c r="AV44" s="79">
        <f t="shared" si="49"/>
        <v>3.9053354438828132</v>
      </c>
      <c r="AW44" s="789"/>
      <c r="AX44" s="261" t="s">
        <v>350</v>
      </c>
      <c r="AY44" s="132" t="s">
        <v>423</v>
      </c>
      <c r="AZ44" s="132">
        <v>24.117021560668945</v>
      </c>
      <c r="BA44" s="132">
        <f t="shared" si="8"/>
        <v>5.4960807409618019E-8</v>
      </c>
      <c r="BB44" s="520">
        <f t="shared" si="50"/>
        <v>0.23454428961784138</v>
      </c>
      <c r="BC44" s="672"/>
      <c r="BD44" s="261" t="s">
        <v>430</v>
      </c>
      <c r="BE44" s="132" t="s">
        <v>423</v>
      </c>
      <c r="BF44" s="132">
        <v>25.782609939575195</v>
      </c>
      <c r="BG44" s="132">
        <f t="shared" si="9"/>
        <v>1.7324513257100435E-8</v>
      </c>
      <c r="BH44" s="520">
        <f t="shared" si="51"/>
        <v>8.3367914881128102E-2</v>
      </c>
      <c r="BI44" s="672"/>
      <c r="BJ44" s="261" t="s">
        <v>440</v>
      </c>
      <c r="BK44" s="132" t="s">
        <v>423</v>
      </c>
      <c r="BL44" s="132">
        <v>25.173004150390625</v>
      </c>
      <c r="BM44" s="132">
        <f t="shared" si="10"/>
        <v>2.6434473795201088E-8</v>
      </c>
      <c r="BN44" s="520">
        <f t="shared" si="52"/>
        <v>0.13178862515811759</v>
      </c>
      <c r="BO44" s="672"/>
      <c r="BP44" s="261" t="s">
        <v>359</v>
      </c>
      <c r="BQ44" s="132" t="s">
        <v>423</v>
      </c>
      <c r="BR44" s="132">
        <v>23.406248092651367</v>
      </c>
      <c r="BS44" s="132">
        <f t="shared" si="11"/>
        <v>8.9953328539179508E-8</v>
      </c>
      <c r="BT44" s="520">
        <f t="shared" si="53"/>
        <v>0.47224839477447822</v>
      </c>
      <c r="BU44" s="672"/>
      <c r="BV44" s="261" t="s">
        <v>390</v>
      </c>
      <c r="BW44" s="132" t="s">
        <v>423</v>
      </c>
      <c r="BX44" s="132">
        <v>22.665403366088867</v>
      </c>
      <c r="BY44" s="132">
        <f t="shared" si="12"/>
        <v>1.5032586896555251E-7</v>
      </c>
      <c r="BZ44" s="520">
        <f t="shared" si="54"/>
        <v>0.11492124419223984</v>
      </c>
      <c r="CA44" s="672"/>
      <c r="CB44" s="261" t="s">
        <v>396</v>
      </c>
      <c r="CC44" s="132" t="s">
        <v>423</v>
      </c>
      <c r="CD44" s="132">
        <v>27.583921432495117</v>
      </c>
      <c r="CE44" s="132">
        <f t="shared" si="13"/>
        <v>4.970639317886604E-9</v>
      </c>
      <c r="CF44" s="520">
        <f t="shared" si="55"/>
        <v>6.7276881706238856E-3</v>
      </c>
      <c r="CG44" s="672"/>
      <c r="CH44" s="261" t="s">
        <v>403</v>
      </c>
      <c r="CI44" s="132" t="s">
        <v>423</v>
      </c>
      <c r="CJ44" s="132">
        <v>25.656742095947266</v>
      </c>
      <c r="CK44" s="132">
        <f t="shared" si="14"/>
        <v>1.8903883757814402E-8</v>
      </c>
      <c r="CL44" s="520">
        <f t="shared" si="56"/>
        <v>1.4520639689899091</v>
      </c>
      <c r="CM44" s="672"/>
    </row>
    <row r="45" spans="2:91" x14ac:dyDescent="0.25">
      <c r="B45" s="479" t="s">
        <v>351</v>
      </c>
      <c r="C45" s="132" t="s">
        <v>337</v>
      </c>
      <c r="D45" s="132">
        <v>19.463472366333008</v>
      </c>
      <c r="E45" s="122">
        <f t="shared" si="0"/>
        <v>1.3832828671547423E-6</v>
      </c>
      <c r="F45">
        <f t="shared" si="43"/>
        <v>1.2692348114424566E-2</v>
      </c>
      <c r="G45" s="789">
        <f>AVERAGE(F45:F46)</f>
        <v>1.1273426433647668E-2</v>
      </c>
      <c r="H45" s="479" t="s">
        <v>334</v>
      </c>
      <c r="I45" s="132" t="s">
        <v>337</v>
      </c>
      <c r="J45" s="132">
        <v>19.929088592529297</v>
      </c>
      <c r="K45" s="122">
        <f t="shared" si="1"/>
        <v>1.0017204672316263E-6</v>
      </c>
      <c r="L45">
        <f t="shared" si="45"/>
        <v>0.17789572847678936</v>
      </c>
      <c r="M45" s="789">
        <f>AVERAGE(L45:L46)</f>
        <v>0.22203461356620252</v>
      </c>
      <c r="N45" s="490">
        <v>18</v>
      </c>
      <c r="O45" s="79" t="s">
        <v>337</v>
      </c>
      <c r="P45" s="79">
        <v>19.037633895874023</v>
      </c>
      <c r="Q45" s="79">
        <f t="shared" si="2"/>
        <v>1.8582372039180372E-6</v>
      </c>
      <c r="R45" s="79">
        <f t="shared" si="46"/>
        <v>1.8368496010896831</v>
      </c>
      <c r="S45" s="789">
        <f>AVERAGE(R45:R46)</f>
        <v>1.6649141927387143</v>
      </c>
      <c r="T45" s="496" t="s">
        <v>360</v>
      </c>
      <c r="U45" s="274" t="s">
        <v>360</v>
      </c>
      <c r="V45" s="274" t="s">
        <v>360</v>
      </c>
      <c r="W45" s="274"/>
      <c r="X45" s="274"/>
      <c r="Y45" s="484"/>
      <c r="Z45" s="261" t="s">
        <v>388</v>
      </c>
      <c r="AA45" s="132" t="s">
        <v>337</v>
      </c>
      <c r="AB45" s="132">
        <v>17.981817245483398</v>
      </c>
      <c r="AC45" s="132">
        <f t="shared" si="4"/>
        <v>3.8630793824876753E-6</v>
      </c>
      <c r="AD45" s="520">
        <f>AC45/$AC$9</f>
        <v>180.98057015985555</v>
      </c>
      <c r="AE45" s="672">
        <f>AVERAGE(AD45:AD46)</f>
        <v>174.30022943738396</v>
      </c>
      <c r="AF45" s="261" t="s">
        <v>394</v>
      </c>
      <c r="AG45" s="132" t="s">
        <v>337</v>
      </c>
      <c r="AH45" s="132">
        <v>22.599468231201172</v>
      </c>
      <c r="AI45" s="132">
        <f t="shared" si="5"/>
        <v>1.573555902451912E-7</v>
      </c>
      <c r="AJ45" s="520">
        <f t="shared" si="47"/>
        <v>6.4040291451049951</v>
      </c>
      <c r="AK45" s="672">
        <f>AVERAGE(AJ45:AJ46)</f>
        <v>6.913023240631782</v>
      </c>
      <c r="AL45" s="261" t="s">
        <v>401</v>
      </c>
      <c r="AM45" s="132" t="s">
        <v>337</v>
      </c>
      <c r="AN45" s="132">
        <v>21.880586624145508</v>
      </c>
      <c r="AO45" s="132">
        <f t="shared" si="6"/>
        <v>2.5899244967025072E-7</v>
      </c>
      <c r="AP45" s="520">
        <f t="shared" si="48"/>
        <v>9.8395320577797918</v>
      </c>
      <c r="AQ45" s="672">
        <f>AVERAGE(AP45:AP46)</f>
        <v>12.671388405595366</v>
      </c>
      <c r="AR45" s="261" t="s">
        <v>407</v>
      </c>
      <c r="AS45" s="132" t="s">
        <v>337</v>
      </c>
      <c r="AT45" s="122">
        <v>20.551498413085938</v>
      </c>
      <c r="AU45" s="132">
        <f t="shared" si="7"/>
        <v>6.5070256970576487E-7</v>
      </c>
      <c r="AV45" s="79">
        <f t="shared" si="49"/>
        <v>3.2542215393955587</v>
      </c>
      <c r="AW45" s="789">
        <f>AVERAGE(AV45:AV46)</f>
        <v>4.5687991764181604</v>
      </c>
      <c r="AX45" s="261" t="s">
        <v>351</v>
      </c>
      <c r="AY45" s="132" t="s">
        <v>423</v>
      </c>
      <c r="AZ45" s="132">
        <v>24.817678451538086</v>
      </c>
      <c r="BA45" s="132">
        <f t="shared" si="8"/>
        <v>3.3816944391096797E-8</v>
      </c>
      <c r="BB45" s="520">
        <f t="shared" si="50"/>
        <v>0.23475865608225854</v>
      </c>
      <c r="BC45" s="672">
        <f>AVERAGE(BB45:BB46)</f>
        <v>0.18251954715562943</v>
      </c>
      <c r="BD45" s="261" t="s">
        <v>334</v>
      </c>
      <c r="BE45" s="132" t="s">
        <v>423</v>
      </c>
      <c r="BF45" s="132">
        <v>25.660634994506836</v>
      </c>
      <c r="BG45" s="132">
        <f t="shared" si="9"/>
        <v>1.8852943190372453E-8</v>
      </c>
      <c r="BH45" s="520">
        <f t="shared" si="51"/>
        <v>7.5741879469571061E-2</v>
      </c>
      <c r="BI45" s="672">
        <f>AVERAGE(BH45:BH46)</f>
        <v>7.896894472502107E-2</v>
      </c>
      <c r="BJ45" s="261" t="s">
        <v>441</v>
      </c>
      <c r="BK45" s="132" t="s">
        <v>423</v>
      </c>
      <c r="BL45" s="132">
        <v>24.417573928833008</v>
      </c>
      <c r="BM45" s="132">
        <f t="shared" si="10"/>
        <v>4.4624958586322629E-8</v>
      </c>
      <c r="BN45" s="520">
        <f t="shared" si="52"/>
        <v>9.1801695649129683E-2</v>
      </c>
      <c r="BO45" s="672">
        <f>AVERAGE(BN45:BN46)</f>
        <v>0.12716630660348799</v>
      </c>
      <c r="BP45" s="261" t="s">
        <v>386</v>
      </c>
      <c r="BQ45" s="132" t="s">
        <v>423</v>
      </c>
      <c r="BR45" s="132">
        <v>28.226921081542969</v>
      </c>
      <c r="BS45" s="132">
        <f t="shared" si="11"/>
        <v>3.1830984360735548E-9</v>
      </c>
      <c r="BT45" s="520">
        <f t="shared" si="53"/>
        <v>1.6753217218805141</v>
      </c>
      <c r="BU45" s="672">
        <f>AVERAGE(BT45:BT46)</f>
        <v>1.4973492269055657</v>
      </c>
      <c r="BV45" s="261" t="s">
        <v>392</v>
      </c>
      <c r="BW45" s="132" t="s">
        <v>423</v>
      </c>
      <c r="BX45" s="132">
        <v>22.291336059570313</v>
      </c>
      <c r="BY45" s="132">
        <f t="shared" si="12"/>
        <v>1.9482254066383539E-7</v>
      </c>
      <c r="BZ45" s="520">
        <f t="shared" si="54"/>
        <v>0.19531816175144182</v>
      </c>
      <c r="CA45" s="672">
        <f>AVERAGE(BZ45:BZ46)</f>
        <v>0.18544116558953447</v>
      </c>
      <c r="CB45" s="261" t="s">
        <v>399</v>
      </c>
      <c r="CC45" s="132" t="s">
        <v>423</v>
      </c>
      <c r="CD45" s="132">
        <v>25.494485855102539</v>
      </c>
      <c r="CE45" s="132">
        <f t="shared" si="13"/>
        <v>2.1154123407524771E-8</v>
      </c>
      <c r="CF45" s="520">
        <f t="shared" si="55"/>
        <v>1.9233823944403195E-2</v>
      </c>
      <c r="CG45" s="672">
        <f>AVERAGE(CF45:CF46)</f>
        <v>1.7328762072131215E-2</v>
      </c>
      <c r="CH45" s="261" t="s">
        <v>405</v>
      </c>
      <c r="CI45" s="132" t="s">
        <v>423</v>
      </c>
      <c r="CJ45" s="132">
        <v>23.934967041015625</v>
      </c>
      <c r="CK45" s="132">
        <f t="shared" si="14"/>
        <v>6.2352945704623549E-8</v>
      </c>
      <c r="CL45" s="520">
        <f t="shared" si="56"/>
        <v>0.55515291143712087</v>
      </c>
      <c r="CM45" s="672">
        <f>AVERAGE(CL45:CL46)</f>
        <v>0.56818437432929403</v>
      </c>
    </row>
    <row r="46" spans="2:91" x14ac:dyDescent="0.25">
      <c r="B46" s="479" t="s">
        <v>351</v>
      </c>
      <c r="C46" s="132" t="s">
        <v>337</v>
      </c>
      <c r="D46" s="132">
        <v>19.204629898071289</v>
      </c>
      <c r="E46" s="122">
        <f t="shared" si="0"/>
        <v>1.6551232716219666E-6</v>
      </c>
      <c r="F46">
        <f t="shared" si="43"/>
        <v>9.8545047528707692E-3</v>
      </c>
      <c r="G46" s="789"/>
      <c r="H46" s="479" t="s">
        <v>334</v>
      </c>
      <c r="I46" s="132" t="s">
        <v>337</v>
      </c>
      <c r="J46" s="132">
        <v>19.150871276855469</v>
      </c>
      <c r="K46" s="122">
        <f t="shared" si="1"/>
        <v>1.7179610079987768E-6</v>
      </c>
      <c r="L46">
        <f t="shared" si="45"/>
        <v>0.26617349865561568</v>
      </c>
      <c r="M46" s="789"/>
      <c r="N46" s="490">
        <v>18</v>
      </c>
      <c r="O46" s="79" t="s">
        <v>337</v>
      </c>
      <c r="P46" s="79">
        <v>19.307668685913086</v>
      </c>
      <c r="Q46" s="79">
        <f t="shared" si="2"/>
        <v>1.5410352720446132E-6</v>
      </c>
      <c r="R46" s="79">
        <f t="shared" si="46"/>
        <v>1.4929787843877458</v>
      </c>
      <c r="S46" s="789"/>
      <c r="T46" s="496" t="s">
        <v>360</v>
      </c>
      <c r="U46" s="274" t="s">
        <v>360</v>
      </c>
      <c r="V46" s="274" t="s">
        <v>360</v>
      </c>
      <c r="W46" s="274"/>
      <c r="X46" s="274"/>
      <c r="Y46" s="484"/>
      <c r="Z46" s="261" t="s">
        <v>388</v>
      </c>
      <c r="AA46" s="132" t="s">
        <v>337</v>
      </c>
      <c r="AB46" s="132">
        <v>18.173746109008789</v>
      </c>
      <c r="AC46" s="132">
        <f t="shared" si="4"/>
        <v>3.3818729467888715E-6</v>
      </c>
      <c r="AD46" s="520">
        <f>AC46/$AC$10</f>
        <v>167.61988871491238</v>
      </c>
      <c r="AE46" s="672"/>
      <c r="AF46" s="261" t="s">
        <v>394</v>
      </c>
      <c r="AG46" s="132" t="s">
        <v>337</v>
      </c>
      <c r="AH46" s="132">
        <v>23.148702621459961</v>
      </c>
      <c r="AI46" s="132">
        <f t="shared" si="5"/>
        <v>1.0753408652501217E-7</v>
      </c>
      <c r="AJ46" s="520">
        <f t="shared" si="47"/>
        <v>7.4220173361585688</v>
      </c>
      <c r="AK46" s="672"/>
      <c r="AL46" s="261" t="s">
        <v>401</v>
      </c>
      <c r="AM46" s="132" t="s">
        <v>337</v>
      </c>
      <c r="AN46" s="132">
        <v>21.933116912841797</v>
      </c>
      <c r="AO46" s="132">
        <f t="shared" si="6"/>
        <v>2.4973183644037639E-7</v>
      </c>
      <c r="AP46" s="520">
        <f t="shared" si="48"/>
        <v>15.503244753410941</v>
      </c>
      <c r="AQ46" s="672"/>
      <c r="AR46" s="261" t="s">
        <v>407</v>
      </c>
      <c r="AS46" s="132" t="s">
        <v>337</v>
      </c>
      <c r="AT46" s="122">
        <v>20.365856170654297</v>
      </c>
      <c r="AU46" s="132">
        <f t="shared" si="7"/>
        <v>7.4005910347381435E-7</v>
      </c>
      <c r="AV46" s="79">
        <f t="shared" si="49"/>
        <v>5.8833768134407629</v>
      </c>
      <c r="AW46" s="789"/>
      <c r="AX46" s="261" t="s">
        <v>351</v>
      </c>
      <c r="AY46" s="132" t="s">
        <v>423</v>
      </c>
      <c r="AZ46" s="132">
        <v>24.84300422668457</v>
      </c>
      <c r="BA46" s="132">
        <f t="shared" si="8"/>
        <v>3.3228485351794757E-8</v>
      </c>
      <c r="BB46" s="520">
        <f t="shared" si="50"/>
        <v>0.13028043822900032</v>
      </c>
      <c r="BC46" s="672"/>
      <c r="BD46" s="261" t="s">
        <v>334</v>
      </c>
      <c r="BE46" s="132" t="s">
        <v>423</v>
      </c>
      <c r="BF46" s="132">
        <v>26.054925918579102</v>
      </c>
      <c r="BG46" s="132">
        <f t="shared" si="9"/>
        <v>1.4344511523077656E-8</v>
      </c>
      <c r="BH46" s="520">
        <f t="shared" si="51"/>
        <v>8.219600998047108E-2</v>
      </c>
      <c r="BI46" s="672"/>
      <c r="BJ46" s="261" t="s">
        <v>441</v>
      </c>
      <c r="BK46" s="132" t="s">
        <v>423</v>
      </c>
      <c r="BL46" s="132">
        <v>24.556295394897461</v>
      </c>
      <c r="BM46" s="132">
        <f t="shared" si="10"/>
        <v>4.0533910455586162E-8</v>
      </c>
      <c r="BN46" s="520">
        <f t="shared" si="52"/>
        <v>0.16253091755784627</v>
      </c>
      <c r="BO46" s="672"/>
      <c r="BP46" s="261" t="s">
        <v>386</v>
      </c>
      <c r="BQ46" s="132" t="s">
        <v>423</v>
      </c>
      <c r="BR46" s="132">
        <v>28.405216217041016</v>
      </c>
      <c r="BS46" s="132">
        <f t="shared" si="11"/>
        <v>2.8130528100729352E-9</v>
      </c>
      <c r="BT46" s="520">
        <f t="shared" si="53"/>
        <v>1.3193767319306171</v>
      </c>
      <c r="BU46" s="672"/>
      <c r="BV46" s="261" t="s">
        <v>392</v>
      </c>
      <c r="BW46" s="132" t="s">
        <v>423</v>
      </c>
      <c r="BX46" s="132">
        <v>22.202495574951172</v>
      </c>
      <c r="BY46" s="132">
        <f t="shared" si="12"/>
        <v>2.0719670914913797E-7</v>
      </c>
      <c r="BZ46" s="520">
        <f t="shared" si="54"/>
        <v>0.17556416942762712</v>
      </c>
      <c r="CA46" s="672"/>
      <c r="CB46" s="261" t="s">
        <v>399</v>
      </c>
      <c r="CC46" s="132" t="s">
        <v>423</v>
      </c>
      <c r="CD46" s="132">
        <v>26.201051712036133</v>
      </c>
      <c r="CE46" s="132">
        <f t="shared" si="13"/>
        <v>1.2962761086662239E-8</v>
      </c>
      <c r="CF46" s="520">
        <f t="shared" si="55"/>
        <v>1.5423700199859234E-2</v>
      </c>
      <c r="CG46" s="672"/>
      <c r="CH46" s="261" t="s">
        <v>405</v>
      </c>
      <c r="CI46" s="132" t="s">
        <v>423</v>
      </c>
      <c r="CJ46" s="132">
        <v>24.304567337036133</v>
      </c>
      <c r="CK46" s="132">
        <f t="shared" si="14"/>
        <v>4.8260987040677973E-8</v>
      </c>
      <c r="CL46" s="520">
        <f t="shared" si="56"/>
        <v>0.5812158372214673</v>
      </c>
      <c r="CM46" s="672"/>
    </row>
    <row r="47" spans="2:91" x14ac:dyDescent="0.25">
      <c r="B47" s="479" t="s">
        <v>352</v>
      </c>
      <c r="C47" s="132" t="s">
        <v>337</v>
      </c>
      <c r="D47" s="132">
        <v>18.032279968261719</v>
      </c>
      <c r="E47" s="122">
        <f t="shared" si="0"/>
        <v>3.7302920899824842E-6</v>
      </c>
      <c r="F47">
        <f t="shared" si="43"/>
        <v>1.1277786915314513E-2</v>
      </c>
      <c r="G47" s="789">
        <f>AVERAGE(F47:F48)</f>
        <v>2.2260458278568991E-2</v>
      </c>
      <c r="H47" s="479">
        <v>19</v>
      </c>
      <c r="I47" s="132" t="s">
        <v>337</v>
      </c>
      <c r="J47" s="132">
        <v>18.405414581298828</v>
      </c>
      <c r="K47" s="122">
        <f t="shared" si="1"/>
        <v>2.880170039505922E-6</v>
      </c>
      <c r="L47">
        <f t="shared" si="45"/>
        <v>0.4585571866903711</v>
      </c>
      <c r="M47" s="789">
        <f>AVERAGE(L47:L48)</f>
        <v>0.43995203635466251</v>
      </c>
      <c r="N47" s="490">
        <v>4</v>
      </c>
      <c r="O47" s="79" t="s">
        <v>337</v>
      </c>
      <c r="P47" s="79">
        <v>18.854024887084961</v>
      </c>
      <c r="Q47" s="79">
        <f t="shared" si="2"/>
        <v>2.110439807359376E-6</v>
      </c>
      <c r="R47" s="79">
        <f t="shared" si="46"/>
        <v>0.9007337297741429</v>
      </c>
      <c r="S47" s="789" t="e">
        <f>AVERAGE(R47:R48)</f>
        <v>#VALUE!</v>
      </c>
      <c r="T47" s="496" t="s">
        <v>360</v>
      </c>
      <c r="U47" s="274" t="s">
        <v>360</v>
      </c>
      <c r="V47" s="274" t="s">
        <v>360</v>
      </c>
      <c r="W47" s="274"/>
      <c r="X47" s="274"/>
      <c r="Y47" s="484"/>
      <c r="Z47" s="261" t="s">
        <v>389</v>
      </c>
      <c r="AA47" s="132" t="s">
        <v>337</v>
      </c>
      <c r="AB47" s="132">
        <v>18.604713439941406</v>
      </c>
      <c r="AC47" s="132">
        <f t="shared" si="4"/>
        <v>2.5085524959312896E-6</v>
      </c>
      <c r="AD47" s="520">
        <f>AC47/$AC$11</f>
        <v>187.59721478250205</v>
      </c>
      <c r="AE47" s="672">
        <f>AD47</f>
        <v>187.59721478250205</v>
      </c>
      <c r="AF47" s="261" t="s">
        <v>395</v>
      </c>
      <c r="AG47" s="132" t="s">
        <v>337</v>
      </c>
      <c r="AH47" s="132">
        <v>22.576532363891602</v>
      </c>
      <c r="AI47" s="132">
        <f t="shared" si="5"/>
        <v>1.5987720983879144E-7</v>
      </c>
      <c r="AJ47" s="520">
        <f t="shared" si="47"/>
        <v>5.0830806630701559</v>
      </c>
      <c r="AK47" s="672">
        <f>AVERAGE(AJ47:AJ48)</f>
        <v>5.5321597684628649</v>
      </c>
      <c r="AL47" s="261" t="s">
        <v>402</v>
      </c>
      <c r="AM47" s="132" t="s">
        <v>337</v>
      </c>
      <c r="AN47" s="132">
        <v>19.956884384155273</v>
      </c>
      <c r="AO47" s="132">
        <f t="shared" si="6"/>
        <v>9.8260547660891365E-7</v>
      </c>
      <c r="AP47" s="520">
        <f t="shared" si="48"/>
        <v>3.9019705271912071</v>
      </c>
      <c r="AQ47" s="672">
        <f>AVERAGE(AP47:AP48)</f>
        <v>4.6849750304065267</v>
      </c>
      <c r="AR47" s="525" t="s">
        <v>360</v>
      </c>
      <c r="AS47" s="396" t="s">
        <v>360</v>
      </c>
      <c r="AT47" s="526" t="s">
        <v>360</v>
      </c>
      <c r="AU47" s="396"/>
      <c r="AV47" s="498"/>
      <c r="AW47" s="871"/>
      <c r="AX47" s="261" t="s">
        <v>352</v>
      </c>
      <c r="AY47" s="132" t="s">
        <v>423</v>
      </c>
      <c r="AZ47" s="132">
        <v>23.931262969970703</v>
      </c>
      <c r="BA47" s="132">
        <f t="shared" si="8"/>
        <v>6.2513240485425591E-8</v>
      </c>
      <c r="BB47" s="520">
        <f t="shared" si="50"/>
        <v>0.12469991960687103</v>
      </c>
      <c r="BC47" s="672">
        <f>AVERAGE(BB47:BB48)</f>
        <v>0.15896970362114873</v>
      </c>
      <c r="BD47" s="261" t="s">
        <v>431</v>
      </c>
      <c r="BE47" s="132" t="s">
        <v>423</v>
      </c>
      <c r="BF47" s="132">
        <v>26.511039733886719</v>
      </c>
      <c r="BG47" s="132">
        <f t="shared" si="9"/>
        <v>1.0456391222409038E-8</v>
      </c>
      <c r="BH47" s="520">
        <f t="shared" si="51"/>
        <v>6.3941484178727068E-2</v>
      </c>
      <c r="BI47" s="672">
        <f>AVERAGE(BH47:BH48)</f>
        <v>5.2326871179610573E-2</v>
      </c>
      <c r="BJ47" s="261" t="s">
        <v>442</v>
      </c>
      <c r="BK47" s="132" t="s">
        <v>423</v>
      </c>
      <c r="BL47" s="132">
        <v>25.35089111328125</v>
      </c>
      <c r="BM47" s="132">
        <f t="shared" si="10"/>
        <v>2.3367989998682723E-8</v>
      </c>
      <c r="BN47" s="520">
        <f t="shared" si="52"/>
        <v>6.197823591409389E-2</v>
      </c>
      <c r="BO47" s="672">
        <f>AVERAGE(BN47)</f>
        <v>6.197823591409389E-2</v>
      </c>
      <c r="BP47" s="261" t="s">
        <v>387</v>
      </c>
      <c r="BQ47" s="132" t="s">
        <v>423</v>
      </c>
      <c r="BR47" s="132">
        <v>24.396419525146484</v>
      </c>
      <c r="BS47" s="132">
        <f t="shared" si="11"/>
        <v>4.5284120370360209E-8</v>
      </c>
      <c r="BT47" s="520">
        <f t="shared" si="53"/>
        <v>1.8503477102980019</v>
      </c>
      <c r="BU47" s="672">
        <f>AVERAGE(BT47:BT48)</f>
        <v>1.2273864861139929</v>
      </c>
      <c r="BV47" s="261" t="s">
        <v>393</v>
      </c>
      <c r="BW47" s="132" t="s">
        <v>423</v>
      </c>
      <c r="BX47" s="132">
        <v>21.8682861328125</v>
      </c>
      <c r="BY47" s="132">
        <f t="shared" si="12"/>
        <v>2.6121007282552608E-7</v>
      </c>
      <c r="BZ47" s="520">
        <f t="shared" si="54"/>
        <v>0.11750338563181327</v>
      </c>
      <c r="CA47" s="672">
        <f>AVERAGE(BZ47:BZ48)</f>
        <v>0.13817692826831898</v>
      </c>
      <c r="CB47" s="261" t="s">
        <v>400</v>
      </c>
      <c r="CC47" s="132" t="s">
        <v>423</v>
      </c>
      <c r="CD47" s="132">
        <v>25.771617889404297</v>
      </c>
      <c r="CE47" s="132">
        <f t="shared" si="13"/>
        <v>1.7457014735371436E-8</v>
      </c>
      <c r="CF47" s="520">
        <f t="shared" si="55"/>
        <v>7.3218384695759959E-3</v>
      </c>
      <c r="CG47" s="672">
        <f>AVERAGE(CF47:CF48)</f>
        <v>9.2168543571094306E-3</v>
      </c>
      <c r="CH47" s="261" t="s">
        <v>406</v>
      </c>
      <c r="CI47" s="132" t="s">
        <v>423</v>
      </c>
      <c r="CJ47" s="132">
        <v>23.522300720214844</v>
      </c>
      <c r="CK47" s="132">
        <f t="shared" si="14"/>
        <v>8.3000730789144191E-8</v>
      </c>
      <c r="CL47" s="520">
        <f t="shared" si="56"/>
        <v>0.6622942697407338</v>
      </c>
      <c r="CM47" s="672">
        <f>AVERAGE(CL47:CL48)</f>
        <v>0.62538055654603064</v>
      </c>
    </row>
    <row r="48" spans="2:91" x14ac:dyDescent="0.25">
      <c r="B48" s="479" t="s">
        <v>352</v>
      </c>
      <c r="C48" s="132" t="s">
        <v>337</v>
      </c>
      <c r="D48" s="132">
        <v>18.02398681640625</v>
      </c>
      <c r="E48" s="122">
        <f t="shared" si="0"/>
        <v>3.751796956929336E-6</v>
      </c>
      <c r="F48">
        <f t="shared" si="43"/>
        <v>3.3243129641823473E-2</v>
      </c>
      <c r="G48" s="789"/>
      <c r="H48" s="479">
        <v>19</v>
      </c>
      <c r="I48" s="132" t="s">
        <v>337</v>
      </c>
      <c r="J48" s="132">
        <v>18.42188835144043</v>
      </c>
      <c r="K48" s="122">
        <f t="shared" si="1"/>
        <v>2.8474691624084139E-6</v>
      </c>
      <c r="L48">
        <f t="shared" si="45"/>
        <v>0.42134688601895393</v>
      </c>
      <c r="M48" s="789"/>
      <c r="N48" s="490">
        <v>4</v>
      </c>
      <c r="O48" s="79" t="s">
        <v>337</v>
      </c>
      <c r="P48" s="79" t="s">
        <v>333</v>
      </c>
      <c r="Q48" s="79" t="e">
        <f t="shared" si="2"/>
        <v>#VALUE!</v>
      </c>
      <c r="R48" s="79" t="e">
        <f t="shared" si="46"/>
        <v>#VALUE!</v>
      </c>
      <c r="S48" s="789"/>
      <c r="T48" s="496" t="s">
        <v>360</v>
      </c>
      <c r="U48" s="274" t="s">
        <v>360</v>
      </c>
      <c r="V48" s="274" t="s">
        <v>360</v>
      </c>
      <c r="W48" s="274"/>
      <c r="X48" s="274"/>
      <c r="Y48" s="484"/>
      <c r="Z48" s="261" t="s">
        <v>389</v>
      </c>
      <c r="AA48" s="132" t="s">
        <v>337</v>
      </c>
      <c r="AB48" s="132" t="s">
        <v>333</v>
      </c>
      <c r="AC48" s="132" t="e">
        <f t="shared" si="4"/>
        <v>#VALUE!</v>
      </c>
      <c r="AD48" s="520" t="e">
        <f>AC48/$AC$12</f>
        <v>#VALUE!</v>
      </c>
      <c r="AE48" s="672"/>
      <c r="AF48" s="261" t="s">
        <v>395</v>
      </c>
      <c r="AG48" s="132" t="s">
        <v>337</v>
      </c>
      <c r="AH48" s="132">
        <v>22.194614410400391</v>
      </c>
      <c r="AI48" s="132">
        <f t="shared" si="5"/>
        <v>2.0833168202611868E-7</v>
      </c>
      <c r="AJ48" s="520">
        <f t="shared" si="47"/>
        <v>5.9812388738555748</v>
      </c>
      <c r="AK48" s="672"/>
      <c r="AL48" s="261" t="s">
        <v>402</v>
      </c>
      <c r="AM48" s="132" t="s">
        <v>337</v>
      </c>
      <c r="AN48" s="132">
        <v>19.689413070678711</v>
      </c>
      <c r="AO48" s="132">
        <f t="shared" si="6"/>
        <v>1.1827584751604064E-6</v>
      </c>
      <c r="AP48" s="520">
        <f t="shared" si="48"/>
        <v>5.467979533621846</v>
      </c>
      <c r="AQ48" s="672"/>
      <c r="AR48" s="523" t="s">
        <v>360</v>
      </c>
      <c r="AS48" s="272" t="s">
        <v>360</v>
      </c>
      <c r="AT48" s="527" t="s">
        <v>360</v>
      </c>
      <c r="AU48" s="272"/>
      <c r="AV48" s="274"/>
      <c r="AW48" s="872"/>
      <c r="AX48" s="261" t="s">
        <v>352</v>
      </c>
      <c r="AY48" s="132" t="s">
        <v>423</v>
      </c>
      <c r="AZ48" s="132">
        <v>23.292322158813477</v>
      </c>
      <c r="BA48" s="132">
        <f t="shared" si="8"/>
        <v>9.7344711317993625E-8</v>
      </c>
      <c r="BB48" s="520">
        <f t="shared" si="50"/>
        <v>0.19323948763542642</v>
      </c>
      <c r="BC48" s="672"/>
      <c r="BD48" s="261" t="s">
        <v>431</v>
      </c>
      <c r="BE48" s="132" t="s">
        <v>423</v>
      </c>
      <c r="BF48" s="132">
        <v>26.904569625854492</v>
      </c>
      <c r="BG48" s="132">
        <f t="shared" si="9"/>
        <v>7.96008164415138E-9</v>
      </c>
      <c r="BH48" s="520">
        <f t="shared" si="51"/>
        <v>4.0712258180494086E-2</v>
      </c>
      <c r="BI48" s="672"/>
      <c r="BJ48" s="261" t="s">
        <v>442</v>
      </c>
      <c r="BK48" s="132" t="s">
        <v>423</v>
      </c>
      <c r="BL48" s="132" t="s">
        <v>333</v>
      </c>
      <c r="BM48" s="132" t="e">
        <f t="shared" si="10"/>
        <v>#VALUE!</v>
      </c>
      <c r="BN48" s="520" t="e">
        <f t="shared" si="52"/>
        <v>#VALUE!</v>
      </c>
      <c r="BO48" s="672"/>
      <c r="BP48" s="261" t="s">
        <v>387</v>
      </c>
      <c r="BQ48" s="132" t="s">
        <v>423</v>
      </c>
      <c r="BR48" s="132">
        <v>24.659345626831055</v>
      </c>
      <c r="BS48" s="132">
        <f t="shared" si="11"/>
        <v>3.7739600007741912E-8</v>
      </c>
      <c r="BT48" s="520">
        <f t="shared" si="53"/>
        <v>0.60442526192998403</v>
      </c>
      <c r="BU48" s="672"/>
      <c r="BV48" s="261" t="s">
        <v>393</v>
      </c>
      <c r="BW48" s="132" t="s">
        <v>423</v>
      </c>
      <c r="BX48" s="132">
        <v>22.121500015258789</v>
      </c>
      <c r="BY48" s="132">
        <f t="shared" si="12"/>
        <v>2.191618442266193E-7</v>
      </c>
      <c r="BZ48" s="520">
        <f t="shared" si="54"/>
        <v>0.15885047090482471</v>
      </c>
      <c r="CA48" s="672"/>
      <c r="CB48" s="261" t="s">
        <v>400</v>
      </c>
      <c r="CC48" s="132" t="s">
        <v>423</v>
      </c>
      <c r="CD48" s="132">
        <v>26.000429153442383</v>
      </c>
      <c r="CE48" s="132">
        <f t="shared" si="13"/>
        <v>1.4896729256811113E-8</v>
      </c>
      <c r="CF48" s="520">
        <f t="shared" si="55"/>
        <v>1.1111870244642864E-2</v>
      </c>
      <c r="CG48" s="672"/>
      <c r="CH48" s="261" t="s">
        <v>406</v>
      </c>
      <c r="CI48" s="132" t="s">
        <v>423</v>
      </c>
      <c r="CJ48" s="132">
        <v>23.583122253417969</v>
      </c>
      <c r="CK48" s="132">
        <f t="shared" si="14"/>
        <v>7.9574296959658495E-8</v>
      </c>
      <c r="CL48" s="520">
        <f t="shared" si="56"/>
        <v>0.58846684335132737</v>
      </c>
      <c r="CM48" s="672"/>
    </row>
    <row r="49" spans="2:91" x14ac:dyDescent="0.25">
      <c r="B49" s="479" t="s">
        <v>353</v>
      </c>
      <c r="C49" s="132" t="s">
        <v>337</v>
      </c>
      <c r="D49" s="132">
        <v>20.367488861083984</v>
      </c>
      <c r="E49" s="122">
        <f t="shared" si="0"/>
        <v>7.3922205618870742E-7</v>
      </c>
      <c r="F49">
        <f t="shared" si="43"/>
        <v>0.30561056248504348</v>
      </c>
      <c r="G49" s="789">
        <f>AVERAGE(F49:F50)</f>
        <v>0.17337295614302017</v>
      </c>
      <c r="H49" s="479">
        <v>20</v>
      </c>
      <c r="I49" s="132" t="s">
        <v>337</v>
      </c>
      <c r="J49" s="132">
        <v>18.69085693359375</v>
      </c>
      <c r="K49" s="122">
        <f t="shared" si="1"/>
        <v>2.3631507027430455E-6</v>
      </c>
      <c r="L49">
        <f t="shared" si="45"/>
        <v>0.32281086960894001</v>
      </c>
      <c r="M49" s="789">
        <f>AVERAGE(L49:L50)</f>
        <v>0.29417374351227032</v>
      </c>
      <c r="N49" s="490" t="s">
        <v>356</v>
      </c>
      <c r="O49" s="79" t="s">
        <v>337</v>
      </c>
      <c r="P49" s="79">
        <v>18.879060745239258</v>
      </c>
      <c r="Q49" s="79">
        <f t="shared" si="2"/>
        <v>2.0741321615116061E-6</v>
      </c>
      <c r="R49" s="79">
        <f t="shared" si="46"/>
        <v>2.4125858688425561</v>
      </c>
      <c r="S49" s="789">
        <f>AVERAGE(R49:R50)</f>
        <v>2.5634215762284396</v>
      </c>
      <c r="T49" s="496" t="s">
        <v>360</v>
      </c>
      <c r="U49" s="274" t="s">
        <v>360</v>
      </c>
      <c r="V49" s="274" t="s">
        <v>360</v>
      </c>
      <c r="W49" s="274"/>
      <c r="X49" s="274"/>
      <c r="Y49" s="484"/>
      <c r="Z49" s="261" t="s">
        <v>390</v>
      </c>
      <c r="AA49" s="132" t="s">
        <v>337</v>
      </c>
      <c r="AB49" s="132">
        <v>10.431172370910645</v>
      </c>
      <c r="AC49" s="132">
        <f t="shared" si="4"/>
        <v>7.2427622012314491E-4</v>
      </c>
      <c r="AD49" s="520">
        <f>AC49/$AC$13</f>
        <v>18618.819604447675</v>
      </c>
      <c r="AE49" s="672">
        <f>AD49</f>
        <v>18618.819604447675</v>
      </c>
      <c r="AF49" s="261" t="s">
        <v>396</v>
      </c>
      <c r="AG49" s="132" t="s">
        <v>337</v>
      </c>
      <c r="AH49" s="132">
        <v>22.502561569213867</v>
      </c>
      <c r="AI49" s="132">
        <f t="shared" si="5"/>
        <v>1.6828832521053085E-7</v>
      </c>
      <c r="AJ49" s="520">
        <f t="shared" si="47"/>
        <v>7.1464127366083634</v>
      </c>
      <c r="AK49" s="672">
        <f>AVERAGE(AJ49:AJ50)</f>
        <v>7.6971632135496453</v>
      </c>
      <c r="AL49" s="261" t="s">
        <v>403</v>
      </c>
      <c r="AM49" s="132" t="s">
        <v>337</v>
      </c>
      <c r="AN49" s="132">
        <v>21.095821380615234</v>
      </c>
      <c r="AO49" s="132">
        <f t="shared" si="6"/>
        <v>4.4619528966026734E-7</v>
      </c>
      <c r="AP49" s="520">
        <f t="shared" si="48"/>
        <v>19.663122053784651</v>
      </c>
      <c r="AQ49" s="672">
        <f>AVERAGE(AP49:AP50)</f>
        <v>17.958460665527092</v>
      </c>
      <c r="AR49" s="523" t="s">
        <v>360</v>
      </c>
      <c r="AS49" s="272" t="s">
        <v>360</v>
      </c>
      <c r="AT49" s="527" t="s">
        <v>360</v>
      </c>
      <c r="AU49" s="272"/>
      <c r="AV49" s="274"/>
      <c r="AW49" s="872"/>
      <c r="AX49" s="261" t="s">
        <v>353</v>
      </c>
      <c r="AY49" s="132" t="s">
        <v>423</v>
      </c>
      <c r="AZ49" s="132">
        <v>25.455802917480469</v>
      </c>
      <c r="BA49" s="132">
        <f t="shared" si="8"/>
        <v>2.1729000910964359E-8</v>
      </c>
      <c r="BB49" s="520">
        <f t="shared" si="50"/>
        <v>0.21778230344654187</v>
      </c>
      <c r="BC49" s="672">
        <f>AVERAGE(BB49:BB50)</f>
        <v>0.19214187656812681</v>
      </c>
      <c r="BD49" s="261" t="s">
        <v>432</v>
      </c>
      <c r="BE49" s="132" t="s">
        <v>423</v>
      </c>
      <c r="BF49" s="132">
        <v>25.211030960083008</v>
      </c>
      <c r="BG49" s="132">
        <f t="shared" si="9"/>
        <v>2.5746811854156066E-8</v>
      </c>
      <c r="BH49" s="520">
        <f t="shared" si="51"/>
        <v>4.9711502224174871E-2</v>
      </c>
      <c r="BI49" s="672">
        <f>AVERAGE(BH49:BH50)</f>
        <v>5.3633428701053358E-2</v>
      </c>
      <c r="BJ49" s="261" t="s">
        <v>356</v>
      </c>
      <c r="BK49" s="132" t="s">
        <v>423</v>
      </c>
      <c r="BL49" s="132">
        <v>24.370944976806641</v>
      </c>
      <c r="BM49" s="132">
        <f t="shared" si="10"/>
        <v>4.6090831100479331E-8</v>
      </c>
      <c r="BN49" s="520">
        <f t="shared" si="52"/>
        <v>0.12141008153194979</v>
      </c>
      <c r="BO49" s="672">
        <f>AVERAGE(BN49)</f>
        <v>0.12141008153194979</v>
      </c>
      <c r="BP49" s="261" t="s">
        <v>388</v>
      </c>
      <c r="BQ49" s="132" t="s">
        <v>423</v>
      </c>
      <c r="BR49" s="132">
        <v>25.478269577026367</v>
      </c>
      <c r="BS49" s="132">
        <f t="shared" si="11"/>
        <v>2.1393242777058685E-8</v>
      </c>
      <c r="BT49" s="520">
        <f t="shared" si="53"/>
        <v>2.5441053834018592</v>
      </c>
      <c r="BU49" s="672">
        <f>AVERAGE(BT49:BT50)</f>
        <v>2.5818704988260377</v>
      </c>
      <c r="BV49" s="261" t="s">
        <v>394</v>
      </c>
      <c r="BW49" s="132" t="s">
        <v>423</v>
      </c>
      <c r="BX49" s="132">
        <v>23.473682403564453</v>
      </c>
      <c r="BY49" s="132">
        <f t="shared" si="12"/>
        <v>8.584549077958009E-8</v>
      </c>
      <c r="BZ49" s="520">
        <f t="shared" si="54"/>
        <v>0.27003091994688416</v>
      </c>
      <c r="CA49" s="672">
        <f>AVERAGE(BZ49:BZ50)</f>
        <v>0.32592081660446481</v>
      </c>
      <c r="CB49" s="261" t="s">
        <v>401</v>
      </c>
      <c r="CC49" s="132" t="s">
        <v>423</v>
      </c>
      <c r="CD49" s="132">
        <v>26.196447372436523</v>
      </c>
      <c r="CE49" s="132">
        <f t="shared" si="13"/>
        <v>1.3004197631266284E-8</v>
      </c>
      <c r="CF49" s="520">
        <f t="shared" si="55"/>
        <v>1.5064076985539061E-2</v>
      </c>
      <c r="CG49" s="672">
        <f>AVERAGE(CF49:CF50)</f>
        <v>1.6686284440618582E-2</v>
      </c>
      <c r="CH49" s="261" t="s">
        <v>407</v>
      </c>
      <c r="CI49" s="132" t="s">
        <v>423</v>
      </c>
      <c r="CJ49" s="132">
        <v>23.767471313476563</v>
      </c>
      <c r="CK49" s="132">
        <f t="shared" si="14"/>
        <v>7.0029046569282221E-8</v>
      </c>
      <c r="CL49" s="520">
        <f t="shared" si="56"/>
        <v>0.66358616485505229</v>
      </c>
      <c r="CM49" s="672">
        <f>AVERAGE(CL49:CL50)</f>
        <v>0.70693251126761059</v>
      </c>
    </row>
    <row r="50" spans="2:91" ht="15.75" thickBot="1" x14ac:dyDescent="0.3">
      <c r="B50" s="480" t="s">
        <v>353</v>
      </c>
      <c r="C50" s="203" t="s">
        <v>337</v>
      </c>
      <c r="D50" s="203">
        <v>20.190277099609375</v>
      </c>
      <c r="E50" s="123">
        <f t="shared" si="0"/>
        <v>8.3583580695244575E-7</v>
      </c>
      <c r="F50" s="6">
        <f t="shared" si="43"/>
        <v>4.1135349800996861E-2</v>
      </c>
      <c r="G50" s="790"/>
      <c r="H50" s="480">
        <v>20</v>
      </c>
      <c r="I50" s="203" t="s">
        <v>337</v>
      </c>
      <c r="J50" s="203">
        <v>18.781036376953125</v>
      </c>
      <c r="K50" s="123">
        <f t="shared" si="1"/>
        <v>2.2199577080736371E-6</v>
      </c>
      <c r="L50" s="6">
        <f t="shared" si="45"/>
        <v>0.26553661741560058</v>
      </c>
      <c r="M50" s="790"/>
      <c r="N50" s="491" t="s">
        <v>356</v>
      </c>
      <c r="O50" s="82" t="s">
        <v>337</v>
      </c>
      <c r="P50" s="82">
        <v>18.380382537841797</v>
      </c>
      <c r="Q50" s="82">
        <f t="shared" si="2"/>
        <v>2.9305796148882003E-6</v>
      </c>
      <c r="R50" s="82">
        <f t="shared" si="46"/>
        <v>2.7142572836143231</v>
      </c>
      <c r="S50" s="790"/>
      <c r="T50" s="497" t="s">
        <v>360</v>
      </c>
      <c r="U50" s="493" t="s">
        <v>360</v>
      </c>
      <c r="V50" s="493" t="s">
        <v>360</v>
      </c>
      <c r="W50" s="493"/>
      <c r="X50" s="493"/>
      <c r="Y50" s="485"/>
      <c r="Z50" s="262" t="s">
        <v>390</v>
      </c>
      <c r="AA50" s="203" t="s">
        <v>337</v>
      </c>
      <c r="AB50" s="203" t="s">
        <v>333</v>
      </c>
      <c r="AC50" s="203" t="e">
        <f t="shared" si="4"/>
        <v>#VALUE!</v>
      </c>
      <c r="AD50" s="521" t="e">
        <f>AC50/$AC$14</f>
        <v>#VALUE!</v>
      </c>
      <c r="AE50" s="672"/>
      <c r="AF50" s="262" t="s">
        <v>396</v>
      </c>
      <c r="AG50" s="203" t="s">
        <v>337</v>
      </c>
      <c r="AH50" s="203">
        <v>21.809894561767578</v>
      </c>
      <c r="AI50" s="203">
        <f t="shared" si="5"/>
        <v>2.7199914234496953E-7</v>
      </c>
      <c r="AJ50" s="521">
        <f t="shared" si="47"/>
        <v>8.2479136904909272</v>
      </c>
      <c r="AK50" s="672"/>
      <c r="AL50" s="262" t="s">
        <v>403</v>
      </c>
      <c r="AM50" s="203" t="s">
        <v>337</v>
      </c>
      <c r="AN50" s="203">
        <v>21.182949066162109</v>
      </c>
      <c r="AO50" s="203">
        <f t="shared" si="6"/>
        <v>4.2004607842325757E-7</v>
      </c>
      <c r="AP50" s="521">
        <f t="shared" si="48"/>
        <v>16.253799277269533</v>
      </c>
      <c r="AQ50" s="672"/>
      <c r="AR50" s="524" t="s">
        <v>360</v>
      </c>
      <c r="AS50" s="278" t="s">
        <v>360</v>
      </c>
      <c r="AT50" s="528" t="s">
        <v>360</v>
      </c>
      <c r="AU50" s="278"/>
      <c r="AV50" s="493"/>
      <c r="AW50" s="873"/>
      <c r="AX50" s="262" t="s">
        <v>353</v>
      </c>
      <c r="AY50" s="203" t="s">
        <v>423</v>
      </c>
      <c r="AZ50" s="203">
        <v>25.585422515869141</v>
      </c>
      <c r="BA50" s="203">
        <f t="shared" si="8"/>
        <v>1.986188079172444E-8</v>
      </c>
      <c r="BB50" s="521">
        <f t="shared" si="50"/>
        <v>0.16650144968971178</v>
      </c>
      <c r="BC50" s="672"/>
      <c r="BD50" s="262" t="s">
        <v>432</v>
      </c>
      <c r="BE50" s="203" t="s">
        <v>423</v>
      </c>
      <c r="BF50" s="203">
        <v>26.96833610534668</v>
      </c>
      <c r="BG50" s="203">
        <f t="shared" si="9"/>
        <v>7.6159116826596111E-9</v>
      </c>
      <c r="BH50" s="521">
        <f t="shared" si="51"/>
        <v>5.7555355177931845E-2</v>
      </c>
      <c r="BI50" s="672"/>
      <c r="BJ50" s="262" t="s">
        <v>356</v>
      </c>
      <c r="BK50" s="203" t="s">
        <v>423</v>
      </c>
      <c r="BL50" s="203" t="s">
        <v>333</v>
      </c>
      <c r="BM50" s="203" t="e">
        <f t="shared" si="10"/>
        <v>#VALUE!</v>
      </c>
      <c r="BN50" s="521" t="e">
        <f t="shared" si="52"/>
        <v>#VALUE!</v>
      </c>
      <c r="BO50" s="672"/>
      <c r="BP50" s="262" t="s">
        <v>388</v>
      </c>
      <c r="BQ50" s="203" t="s">
        <v>423</v>
      </c>
      <c r="BR50" s="203">
        <v>25.94325065612793</v>
      </c>
      <c r="BS50" s="203">
        <f t="shared" si="11"/>
        <v>1.5498988908554927E-8</v>
      </c>
      <c r="BT50" s="521">
        <f t="shared" si="53"/>
        <v>2.6196356142502162</v>
      </c>
      <c r="BU50" s="672"/>
      <c r="BV50" s="262" t="s">
        <v>394</v>
      </c>
      <c r="BW50" s="203" t="s">
        <v>423</v>
      </c>
      <c r="BX50" s="203">
        <v>22.927804946899414</v>
      </c>
      <c r="BY50" s="203">
        <f t="shared" si="12"/>
        <v>1.2532651875083422E-7</v>
      </c>
      <c r="BZ50" s="521">
        <f t="shared" si="54"/>
        <v>0.38181071326204552</v>
      </c>
      <c r="CA50" s="672"/>
      <c r="CB50" s="262" t="s">
        <v>401</v>
      </c>
      <c r="CC50" s="203" t="s">
        <v>423</v>
      </c>
      <c r="CD50" s="203">
        <v>25.934207916259766</v>
      </c>
      <c r="CE50" s="203">
        <f t="shared" si="13"/>
        <v>1.5596440883554067E-8</v>
      </c>
      <c r="CF50" s="521">
        <f t="shared" si="55"/>
        <v>1.8308491895698106E-2</v>
      </c>
      <c r="CG50" s="672"/>
      <c r="CH50" s="262" t="s">
        <v>407</v>
      </c>
      <c r="CI50" s="203" t="s">
        <v>423</v>
      </c>
      <c r="CJ50" s="203">
        <v>23.62727165222168</v>
      </c>
      <c r="CK50" s="203">
        <f t="shared" si="14"/>
        <v>7.717604468621194E-8</v>
      </c>
      <c r="CL50" s="521">
        <f t="shared" si="56"/>
        <v>0.75027885768016889</v>
      </c>
      <c r="CM50" s="672"/>
    </row>
    <row r="51" spans="2:91" x14ac:dyDescent="0.25">
      <c r="B51" s="478" t="s">
        <v>331</v>
      </c>
      <c r="C51" s="202" t="s">
        <v>338</v>
      </c>
      <c r="D51" s="202" t="s">
        <v>333</v>
      </c>
      <c r="E51" s="443" t="e">
        <f t="shared" si="0"/>
        <v>#VALUE!</v>
      </c>
      <c r="F51" s="8" t="e">
        <f t="shared" ref="F51:F62" si="57">E51/E3</f>
        <v>#VALUE!</v>
      </c>
      <c r="G51" s="487"/>
      <c r="H51" s="478" t="s">
        <v>331</v>
      </c>
      <c r="I51" s="202" t="s">
        <v>338</v>
      </c>
      <c r="J51" s="202">
        <v>35.820671081542969</v>
      </c>
      <c r="K51" s="443">
        <f t="shared" si="1"/>
        <v>1.6477963618238859E-11</v>
      </c>
      <c r="L51" s="8">
        <f>K51/K3</f>
        <v>0.15795666388757071</v>
      </c>
      <c r="M51" s="487"/>
      <c r="N51" s="489" t="s">
        <v>331</v>
      </c>
      <c r="O51" s="251" t="s">
        <v>338</v>
      </c>
      <c r="P51" s="251" t="s">
        <v>333</v>
      </c>
      <c r="Q51" s="251" t="e">
        <f t="shared" si="2"/>
        <v>#VALUE!</v>
      </c>
      <c r="R51" s="251" t="e">
        <f>Q51/Q3</f>
        <v>#VALUE!</v>
      </c>
      <c r="S51" s="487"/>
      <c r="T51" s="375" t="s">
        <v>331</v>
      </c>
      <c r="U51" s="251" t="s">
        <v>338</v>
      </c>
      <c r="V51" s="251" t="s">
        <v>333</v>
      </c>
      <c r="W51" s="251" t="e">
        <f t="shared" si="3"/>
        <v>#VALUE!</v>
      </c>
      <c r="X51" s="251" t="e">
        <f t="shared" ref="X51:X56" si="58">W51/W3</f>
        <v>#VALUE!</v>
      </c>
      <c r="Y51" s="487"/>
      <c r="Z51" s="452" t="s">
        <v>331</v>
      </c>
      <c r="AA51" s="202" t="s">
        <v>338</v>
      </c>
      <c r="AB51" s="202" t="s">
        <v>333</v>
      </c>
      <c r="AC51" s="202" t="e">
        <f t="shared" si="4"/>
        <v>#VALUE!</v>
      </c>
      <c r="AD51" s="514" t="e">
        <f>AC51/$AC$3</f>
        <v>#VALUE!</v>
      </c>
      <c r="AE51" s="400"/>
      <c r="AF51" s="452" t="s">
        <v>331</v>
      </c>
      <c r="AG51" s="202" t="s">
        <v>338</v>
      </c>
      <c r="AH51" s="202" t="s">
        <v>333</v>
      </c>
      <c r="AI51" s="202" t="e">
        <f t="shared" si="5"/>
        <v>#VALUE!</v>
      </c>
      <c r="AJ51" s="514" t="e">
        <f>AI51/AI3</f>
        <v>#VALUE!</v>
      </c>
      <c r="AK51" s="400"/>
      <c r="AL51" s="452" t="s">
        <v>331</v>
      </c>
      <c r="AM51" s="202" t="s">
        <v>338</v>
      </c>
      <c r="AN51" s="202" t="s">
        <v>333</v>
      </c>
      <c r="AO51" s="202" t="e">
        <f t="shared" si="6"/>
        <v>#VALUE!</v>
      </c>
      <c r="AP51" s="514" t="e">
        <f>AO51/AO3</f>
        <v>#VALUE!</v>
      </c>
      <c r="AQ51" s="400"/>
      <c r="AR51" s="452" t="s">
        <v>331</v>
      </c>
      <c r="AS51" s="202" t="s">
        <v>338</v>
      </c>
      <c r="AT51" s="443" t="s">
        <v>333</v>
      </c>
      <c r="AU51" s="202" t="e">
        <f t="shared" si="7"/>
        <v>#VALUE!</v>
      </c>
      <c r="AV51" s="251" t="e">
        <f>AU51/AU3</f>
        <v>#VALUE!</v>
      </c>
      <c r="AW51" s="487"/>
      <c r="AX51" s="452" t="s">
        <v>331</v>
      </c>
      <c r="AY51" s="202" t="s">
        <v>424</v>
      </c>
      <c r="AZ51" s="202">
        <v>34.86016845703125</v>
      </c>
      <c r="BA51" s="202">
        <f t="shared" si="8"/>
        <v>3.2065915260125975E-11</v>
      </c>
      <c r="BB51" s="514" t="e">
        <f>BA51/BA3</f>
        <v>#VALUE!</v>
      </c>
      <c r="BC51" s="400"/>
      <c r="BD51" s="452" t="s">
        <v>331</v>
      </c>
      <c r="BE51" s="202" t="s">
        <v>424</v>
      </c>
      <c r="BF51" s="202">
        <v>35.788040161132813</v>
      </c>
      <c r="BG51" s="202">
        <f t="shared" si="9"/>
        <v>1.6854909519016552E-11</v>
      </c>
      <c r="BH51" s="514" t="e">
        <f>BG51/BG3</f>
        <v>#VALUE!</v>
      </c>
      <c r="BI51" s="400"/>
      <c r="BJ51" s="452" t="s">
        <v>331</v>
      </c>
      <c r="BK51" s="202" t="s">
        <v>424</v>
      </c>
      <c r="BL51" s="202">
        <v>35.950363159179688</v>
      </c>
      <c r="BM51" s="202">
        <f t="shared" si="10"/>
        <v>1.5061295662490903E-11</v>
      </c>
      <c r="BN51" s="514" t="e">
        <f>BM51/BM3</f>
        <v>#VALUE!</v>
      </c>
      <c r="BO51" s="400"/>
      <c r="BP51" s="452" t="s">
        <v>331</v>
      </c>
      <c r="BQ51" s="202" t="s">
        <v>424</v>
      </c>
      <c r="BR51" s="202">
        <v>34.533096313476563</v>
      </c>
      <c r="BS51" s="202">
        <f t="shared" si="11"/>
        <v>4.0225566265742783E-11</v>
      </c>
      <c r="BT51" s="514">
        <f>BS51/BS3</f>
        <v>1.0354123073534872E-2</v>
      </c>
      <c r="BU51" s="400"/>
      <c r="BV51" s="452" t="s">
        <v>331</v>
      </c>
      <c r="BW51" s="202" t="s">
        <v>424</v>
      </c>
      <c r="BX51" s="202">
        <v>36.313610076904297</v>
      </c>
      <c r="BY51" s="202">
        <f t="shared" si="12"/>
        <v>1.1708846593229245E-11</v>
      </c>
      <c r="BZ51" s="514" t="e">
        <f>BY51/BY3</f>
        <v>#VALUE!</v>
      </c>
      <c r="CA51" s="400"/>
      <c r="CB51" s="452" t="s">
        <v>331</v>
      </c>
      <c r="CC51" s="202" t="s">
        <v>424</v>
      </c>
      <c r="CD51" s="202">
        <v>33.862697601318359</v>
      </c>
      <c r="CE51" s="202">
        <f t="shared" si="13"/>
        <v>6.4019501470453989E-11</v>
      </c>
      <c r="CF51" s="514" t="e">
        <f>CE51/CE3</f>
        <v>#VALUE!</v>
      </c>
      <c r="CG51" s="400"/>
      <c r="CH51" s="452" t="s">
        <v>331</v>
      </c>
      <c r="CI51" s="202" t="s">
        <v>424</v>
      </c>
      <c r="CJ51" s="202">
        <v>37.131256103515625</v>
      </c>
      <c r="CK51" s="202">
        <f t="shared" si="14"/>
        <v>6.6432123697702302E-12</v>
      </c>
      <c r="CL51" s="514" t="e">
        <f>CK51/CK3</f>
        <v>#VALUE!</v>
      </c>
      <c r="CM51" s="400"/>
    </row>
    <row r="52" spans="2:91" x14ac:dyDescent="0.25">
      <c r="B52" s="486" t="s">
        <v>331</v>
      </c>
      <c r="C52" s="134" t="s">
        <v>338</v>
      </c>
      <c r="D52" s="134" t="s">
        <v>333</v>
      </c>
      <c r="E52" s="139" t="e">
        <f t="shared" si="0"/>
        <v>#VALUE!</v>
      </c>
      <c r="F52" s="162" t="e">
        <f t="shared" si="57"/>
        <v>#VALUE!</v>
      </c>
      <c r="G52" s="488"/>
      <c r="H52" s="486" t="s">
        <v>331</v>
      </c>
      <c r="I52" s="134" t="s">
        <v>338</v>
      </c>
      <c r="J52" s="134" t="s">
        <v>333</v>
      </c>
      <c r="K52" s="139" t="e">
        <f t="shared" si="1"/>
        <v>#VALUE!</v>
      </c>
      <c r="L52" s="162" t="e">
        <f t="shared" ref="L52:L62" si="59">K52/K4</f>
        <v>#VALUE!</v>
      </c>
      <c r="M52" s="488"/>
      <c r="N52" s="494" t="s">
        <v>331</v>
      </c>
      <c r="O52" s="138" t="s">
        <v>338</v>
      </c>
      <c r="P52" s="138">
        <v>37.072643280029297</v>
      </c>
      <c r="Q52" s="138">
        <f t="shared" si="2"/>
        <v>6.9186658200589296E-12</v>
      </c>
      <c r="R52" s="138" t="e">
        <f t="shared" ref="R52:R62" si="60">Q52/Q4</f>
        <v>#VALUE!</v>
      </c>
      <c r="S52" s="488"/>
      <c r="T52" s="257" t="s">
        <v>331</v>
      </c>
      <c r="U52" s="138" t="s">
        <v>338</v>
      </c>
      <c r="V52" s="138" t="s">
        <v>333</v>
      </c>
      <c r="W52" s="138" t="e">
        <f t="shared" si="3"/>
        <v>#VALUE!</v>
      </c>
      <c r="X52" s="138" t="e">
        <f t="shared" si="58"/>
        <v>#VALUE!</v>
      </c>
      <c r="Y52" s="488"/>
      <c r="Z52" s="513" t="s">
        <v>331</v>
      </c>
      <c r="AA52" s="134" t="s">
        <v>338</v>
      </c>
      <c r="AB52" s="134" t="s">
        <v>333</v>
      </c>
      <c r="AC52" s="134" t="e">
        <f t="shared" si="4"/>
        <v>#VALUE!</v>
      </c>
      <c r="AD52" s="519" t="e">
        <f>AC52/$AC$4</f>
        <v>#VALUE!</v>
      </c>
      <c r="AE52" s="385"/>
      <c r="AF52" s="513" t="s">
        <v>331</v>
      </c>
      <c r="AG52" s="134" t="s">
        <v>338</v>
      </c>
      <c r="AH52" s="134" t="s">
        <v>333</v>
      </c>
      <c r="AI52" s="134" t="e">
        <f t="shared" si="5"/>
        <v>#VALUE!</v>
      </c>
      <c r="AJ52" s="519" t="e">
        <f t="shared" ref="AJ52:AJ62" si="61">AI52/AI4</f>
        <v>#VALUE!</v>
      </c>
      <c r="AK52" s="385"/>
      <c r="AL52" s="513" t="s">
        <v>331</v>
      </c>
      <c r="AM52" s="134" t="s">
        <v>338</v>
      </c>
      <c r="AN52" s="134" t="s">
        <v>333</v>
      </c>
      <c r="AO52" s="134" t="e">
        <f t="shared" si="6"/>
        <v>#VALUE!</v>
      </c>
      <c r="AP52" s="519" t="e">
        <f t="shared" ref="AP52:AP62" si="62">AO52/AO4</f>
        <v>#VALUE!</v>
      </c>
      <c r="AQ52" s="385"/>
      <c r="AR52" s="513" t="s">
        <v>331</v>
      </c>
      <c r="AS52" s="134" t="s">
        <v>338</v>
      </c>
      <c r="AT52" s="139" t="s">
        <v>333</v>
      </c>
      <c r="AU52" s="134" t="e">
        <f t="shared" si="7"/>
        <v>#VALUE!</v>
      </c>
      <c r="AV52" s="138" t="e">
        <f t="shared" ref="AV52:AV58" si="63">AU52/AU4</f>
        <v>#VALUE!</v>
      </c>
      <c r="AW52" s="488"/>
      <c r="AX52" s="513" t="s">
        <v>331</v>
      </c>
      <c r="AY52" s="134" t="s">
        <v>424</v>
      </c>
      <c r="AZ52" s="134">
        <v>35.925559997558594</v>
      </c>
      <c r="BA52" s="134">
        <f t="shared" si="8"/>
        <v>1.5322471763813492E-11</v>
      </c>
      <c r="BB52" s="519" t="e">
        <f t="shared" ref="BB52:BB62" si="64">BA52/BA4</f>
        <v>#VALUE!</v>
      </c>
      <c r="BC52" s="385"/>
      <c r="BD52" s="513" t="s">
        <v>331</v>
      </c>
      <c r="BE52" s="134" t="s">
        <v>424</v>
      </c>
      <c r="BF52" s="134">
        <v>33.897270202636719</v>
      </c>
      <c r="BG52" s="134">
        <f t="shared" si="9"/>
        <v>6.2503580699436373E-11</v>
      </c>
      <c r="BH52" s="519" t="e">
        <f t="shared" ref="BH52:BH62" si="65">BG52/BG4</f>
        <v>#VALUE!</v>
      </c>
      <c r="BI52" s="385"/>
      <c r="BJ52" s="513" t="s">
        <v>331</v>
      </c>
      <c r="BK52" s="134" t="s">
        <v>424</v>
      </c>
      <c r="BL52" s="134">
        <v>35.829704284667969</v>
      </c>
      <c r="BM52" s="134">
        <f t="shared" si="10"/>
        <v>1.6375111828417833E-11</v>
      </c>
      <c r="BN52" s="519" t="e">
        <f t="shared" ref="BN52:BN62" si="66">BM52/BM4</f>
        <v>#VALUE!</v>
      </c>
      <c r="BO52" s="385"/>
      <c r="BP52" s="513" t="s">
        <v>331</v>
      </c>
      <c r="BQ52" s="134" t="s">
        <v>424</v>
      </c>
      <c r="BR52" s="134">
        <v>36.986095428466797</v>
      </c>
      <c r="BS52" s="134">
        <f t="shared" si="11"/>
        <v>7.3464216898999017E-12</v>
      </c>
      <c r="BT52" s="519">
        <f t="shared" ref="BT52:BT62" si="67">BS52/BS4</f>
        <v>0.48022676550422089</v>
      </c>
      <c r="BU52" s="385"/>
      <c r="BV52" s="513" t="s">
        <v>331</v>
      </c>
      <c r="BW52" s="134" t="s">
        <v>424</v>
      </c>
      <c r="BX52" s="134">
        <v>36.992465972900391</v>
      </c>
      <c r="BY52" s="134">
        <f t="shared" si="12"/>
        <v>7.3140534298848261E-12</v>
      </c>
      <c r="BZ52" s="519">
        <f t="shared" ref="BZ52:BZ62" si="68">BY52/BY4</f>
        <v>1.084546667332642</v>
      </c>
      <c r="CA52" s="385"/>
      <c r="CB52" s="513" t="s">
        <v>331</v>
      </c>
      <c r="CC52" s="134" t="s">
        <v>424</v>
      </c>
      <c r="CD52" s="134">
        <v>36.946102142333984</v>
      </c>
      <c r="CE52" s="134">
        <f t="shared" si="13"/>
        <v>7.5529225667288389E-12</v>
      </c>
      <c r="CF52" s="519">
        <f t="shared" ref="CF52:CF62" si="69">CE52/CE4</f>
        <v>1.104997395185275</v>
      </c>
      <c r="CG52" s="385"/>
      <c r="CH52" s="513" t="s">
        <v>331</v>
      </c>
      <c r="CI52" s="134" t="s">
        <v>424</v>
      </c>
      <c r="CJ52" s="134">
        <v>32.597373962402344</v>
      </c>
      <c r="CK52" s="134">
        <f t="shared" si="14"/>
        <v>1.5389080003855313E-10</v>
      </c>
      <c r="CL52" s="519" t="e">
        <f t="shared" ref="CL52:CL62" si="70">CK52/CK4</f>
        <v>#VALUE!</v>
      </c>
      <c r="CM52" s="385"/>
    </row>
    <row r="53" spans="2:91" x14ac:dyDescent="0.25">
      <c r="B53" s="479" t="s">
        <v>349</v>
      </c>
      <c r="C53" s="132" t="s">
        <v>338</v>
      </c>
      <c r="D53" s="132">
        <v>13.65779972076416</v>
      </c>
      <c r="E53" s="122">
        <f t="shared" si="0"/>
        <v>7.7373565315174344E-5</v>
      </c>
      <c r="F53">
        <f t="shared" si="57"/>
        <v>3.7452074957243703E-2</v>
      </c>
      <c r="G53" s="789">
        <f>AVERAGE(F53:F54)</f>
        <v>3.6617871134809098E-2</v>
      </c>
      <c r="H53" s="479">
        <v>30</v>
      </c>
      <c r="I53" s="132" t="s">
        <v>338</v>
      </c>
      <c r="J53" s="132">
        <v>30.589935302734375</v>
      </c>
      <c r="K53" s="122">
        <f t="shared" si="1"/>
        <v>6.1874529346148727E-10</v>
      </c>
      <c r="L53">
        <f t="shared" si="59"/>
        <v>3.2039080431409036E-4</v>
      </c>
      <c r="M53" s="789">
        <f>AVERAGE(L53:L54)</f>
        <v>1.8876005667735752E-4</v>
      </c>
      <c r="N53" s="490">
        <v>15</v>
      </c>
      <c r="O53" s="79" t="s">
        <v>338</v>
      </c>
      <c r="P53" s="79">
        <v>25.833806991577148</v>
      </c>
      <c r="Q53" s="79">
        <f t="shared" si="2"/>
        <v>1.6720497426535653E-8</v>
      </c>
      <c r="R53" s="79" t="e">
        <f t="shared" si="60"/>
        <v>#VALUE!</v>
      </c>
      <c r="S53" s="789" t="e">
        <f>AVERAGE(R53:R54)</f>
        <v>#VALUE!</v>
      </c>
      <c r="T53" s="80" t="s">
        <v>358</v>
      </c>
      <c r="U53" s="79" t="s">
        <v>338</v>
      </c>
      <c r="V53" s="79" t="s">
        <v>333</v>
      </c>
      <c r="W53" s="79" t="e">
        <f t="shared" si="3"/>
        <v>#VALUE!</v>
      </c>
      <c r="X53" s="79" t="e">
        <f t="shared" si="58"/>
        <v>#VALUE!</v>
      </c>
      <c r="Y53" s="789" t="e">
        <f>AVERAGE(X53:X54)</f>
        <v>#VALUE!</v>
      </c>
      <c r="Z53" s="261" t="s">
        <v>386</v>
      </c>
      <c r="AA53" s="132" t="s">
        <v>338</v>
      </c>
      <c r="AB53" s="132">
        <v>34.977325439453125</v>
      </c>
      <c r="AC53" s="132">
        <f t="shared" si="4"/>
        <v>2.9564863255425892E-11</v>
      </c>
      <c r="AD53" s="520">
        <f>AC53/$AC$5</f>
        <v>2.6683627405819504E-3</v>
      </c>
      <c r="AE53" s="676">
        <f>AVERAGE(AD53:AD54)</f>
        <v>1.9109811974270595E-3</v>
      </c>
      <c r="AF53" s="261" t="s">
        <v>392</v>
      </c>
      <c r="AG53" s="132" t="s">
        <v>338</v>
      </c>
      <c r="AH53" s="132">
        <v>32.549774169921875</v>
      </c>
      <c r="AI53" s="132">
        <f t="shared" si="5"/>
        <v>1.5905291127611259E-10</v>
      </c>
      <c r="AJ53" s="520">
        <f t="shared" si="61"/>
        <v>2.7087335133292242E-3</v>
      </c>
      <c r="AK53" s="676">
        <f>AVERAGE(AJ53:AJ54)</f>
        <v>5.3609619884892592E-3</v>
      </c>
      <c r="AL53" s="261" t="s">
        <v>399</v>
      </c>
      <c r="AM53" s="132" t="s">
        <v>338</v>
      </c>
      <c r="AN53" s="132">
        <v>32.864532470703125</v>
      </c>
      <c r="AO53" s="132">
        <f t="shared" si="6"/>
        <v>1.2787626202610027E-10</v>
      </c>
      <c r="AP53" s="520">
        <f t="shared" si="62"/>
        <v>4.8953712967768435E-3</v>
      </c>
      <c r="AQ53" s="676">
        <f>AVERAGE(AP53:AP54)</f>
        <v>4.8770563328566097E-3</v>
      </c>
      <c r="AR53" s="261" t="s">
        <v>405</v>
      </c>
      <c r="AS53" s="132" t="s">
        <v>338</v>
      </c>
      <c r="AT53" s="122">
        <v>33.531089782714844</v>
      </c>
      <c r="AU53" s="132">
        <f t="shared" si="7"/>
        <v>8.0563103515118537E-11</v>
      </c>
      <c r="AV53" s="79">
        <f t="shared" si="63"/>
        <v>6.0737238105089528E-4</v>
      </c>
      <c r="AW53" s="789">
        <f>AVERAGE(AV53:AV54)</f>
        <v>4.6168820028194525E-4</v>
      </c>
      <c r="AX53" s="261" t="s">
        <v>349</v>
      </c>
      <c r="AY53" s="132" t="s">
        <v>424</v>
      </c>
      <c r="AZ53" s="132">
        <v>18.236112594604492</v>
      </c>
      <c r="BA53" s="132">
        <f t="shared" si="8"/>
        <v>3.2387923493501358E-6</v>
      </c>
      <c r="BB53" s="520">
        <f t="shared" si="64"/>
        <v>6.3933024947571209</v>
      </c>
      <c r="BC53" s="676">
        <f>AVERAGE(BB53:BB54)</f>
        <v>6.3283511096219858</v>
      </c>
      <c r="BD53" s="261" t="s">
        <v>429</v>
      </c>
      <c r="BE53" s="132" t="s">
        <v>424</v>
      </c>
      <c r="BF53" s="132">
        <v>19.428394317626953</v>
      </c>
      <c r="BG53" s="132">
        <f t="shared" si="9"/>
        <v>1.4173285740532001E-6</v>
      </c>
      <c r="BH53" s="520">
        <f t="shared" si="65"/>
        <v>3.7590198183789894</v>
      </c>
      <c r="BI53" s="676">
        <f>AVERAGE(BH53:BH54)</f>
        <v>4.098437038424394</v>
      </c>
      <c r="BJ53" s="261" t="s">
        <v>439</v>
      </c>
      <c r="BK53" s="132" t="s">
        <v>424</v>
      </c>
      <c r="BL53" s="132">
        <v>19.954959869384766</v>
      </c>
      <c r="BM53" s="132">
        <f t="shared" si="10"/>
        <v>9.8391711944199764E-7</v>
      </c>
      <c r="BN53" s="520">
        <f t="shared" si="66"/>
        <v>2.7642287015351292</v>
      </c>
      <c r="BO53" s="676">
        <f>AVERAGE(BN53:BN54)</f>
        <v>3.0445992277928902</v>
      </c>
      <c r="BP53" s="261" t="s">
        <v>358</v>
      </c>
      <c r="BQ53" s="132" t="s">
        <v>424</v>
      </c>
      <c r="BR53" s="132">
        <v>17.704193115234375</v>
      </c>
      <c r="BS53" s="132">
        <f t="shared" si="11"/>
        <v>4.6828130857628796E-6</v>
      </c>
      <c r="BT53" s="520">
        <f t="shared" si="67"/>
        <v>9.3362128219905713</v>
      </c>
      <c r="BU53" s="676">
        <f>AVERAGE(BT53:BT54)</f>
        <v>9.4369239742855306</v>
      </c>
      <c r="BV53" s="261" t="s">
        <v>389</v>
      </c>
      <c r="BW53" s="132" t="s">
        <v>424</v>
      </c>
      <c r="BX53" s="132">
        <v>21.767379760742188</v>
      </c>
      <c r="BY53" s="132">
        <f t="shared" si="12"/>
        <v>2.80133962879813E-7</v>
      </c>
      <c r="BZ53" s="520">
        <f t="shared" si="68"/>
        <v>0.5052702638094082</v>
      </c>
      <c r="CA53" s="676">
        <f>AVERAGE(BZ53:BZ54)</f>
        <v>0.49539077730310233</v>
      </c>
      <c r="CB53" s="261" t="s">
        <v>395</v>
      </c>
      <c r="CC53" s="132" t="s">
        <v>424</v>
      </c>
      <c r="CD53" s="132">
        <v>21.665679931640625</v>
      </c>
      <c r="CE53" s="132">
        <f t="shared" si="13"/>
        <v>3.0059410832679118E-7</v>
      </c>
      <c r="CF53" s="520">
        <f t="shared" si="69"/>
        <v>0.19664293837062499</v>
      </c>
      <c r="CG53" s="676">
        <f>AVERAGE(CF53:CF54)</f>
        <v>0.20795206216680848</v>
      </c>
      <c r="CH53" s="261" t="s">
        <v>402</v>
      </c>
      <c r="CI53" s="132" t="s">
        <v>424</v>
      </c>
      <c r="CJ53" s="132">
        <v>17.735013961791992</v>
      </c>
      <c r="CK53" s="132">
        <f t="shared" si="14"/>
        <v>4.5838333917923703E-6</v>
      </c>
      <c r="CL53" s="520">
        <f t="shared" si="70"/>
        <v>41.217491044050142</v>
      </c>
      <c r="CM53" s="676">
        <f>AVERAGE(CL53:CL54)</f>
        <v>44.442967316443692</v>
      </c>
    </row>
    <row r="54" spans="2:91" x14ac:dyDescent="0.25">
      <c r="B54" s="479" t="s">
        <v>349</v>
      </c>
      <c r="C54" s="132" t="s">
        <v>338</v>
      </c>
      <c r="D54" s="132">
        <v>14.578965187072754</v>
      </c>
      <c r="E54" s="122">
        <f t="shared" si="0"/>
        <v>4.0859605853009393E-5</v>
      </c>
      <c r="F54">
        <f t="shared" si="57"/>
        <v>3.5783667312374492E-2</v>
      </c>
      <c r="G54" s="789"/>
      <c r="H54" s="479">
        <v>30</v>
      </c>
      <c r="I54" s="132" t="s">
        <v>338</v>
      </c>
      <c r="J54" s="132">
        <v>30.980503082275391</v>
      </c>
      <c r="K54" s="122">
        <f t="shared" si="1"/>
        <v>4.7199705781374257E-10</v>
      </c>
      <c r="L54">
        <f t="shared" si="59"/>
        <v>5.7129309040624689E-5</v>
      </c>
      <c r="M54" s="789"/>
      <c r="N54" s="490">
        <v>15</v>
      </c>
      <c r="O54" s="79" t="s">
        <v>338</v>
      </c>
      <c r="P54" s="79">
        <v>25.595561981201172</v>
      </c>
      <c r="Q54" s="79">
        <f t="shared" si="2"/>
        <v>1.9722778066379152E-8</v>
      </c>
      <c r="R54" s="79">
        <f t="shared" si="60"/>
        <v>2.499834868620477E-2</v>
      </c>
      <c r="S54" s="789"/>
      <c r="T54" s="80" t="s">
        <v>358</v>
      </c>
      <c r="U54" s="79" t="s">
        <v>338</v>
      </c>
      <c r="V54" s="79" t="s">
        <v>333</v>
      </c>
      <c r="W54" s="79" t="e">
        <f t="shared" si="3"/>
        <v>#VALUE!</v>
      </c>
      <c r="X54" s="79" t="e">
        <f t="shared" si="58"/>
        <v>#VALUE!</v>
      </c>
      <c r="Y54" s="789"/>
      <c r="Z54" s="261" t="s">
        <v>386</v>
      </c>
      <c r="AA54" s="132" t="s">
        <v>338</v>
      </c>
      <c r="AB54" s="132">
        <v>36.418857574462891</v>
      </c>
      <c r="AC54" s="132">
        <f t="shared" si="4"/>
        <v>1.0885075915399158E-11</v>
      </c>
      <c r="AD54" s="520">
        <f>AC54/$AC$6</f>
        <v>1.1535996542721687E-3</v>
      </c>
      <c r="AE54" s="672"/>
      <c r="AF54" s="261" t="s">
        <v>392</v>
      </c>
      <c r="AG54" s="132" t="s">
        <v>338</v>
      </c>
      <c r="AH54" s="132">
        <v>31.510639190673828</v>
      </c>
      <c r="AI54" s="132">
        <f t="shared" si="5"/>
        <v>3.2685295905591025E-10</v>
      </c>
      <c r="AJ54" s="520">
        <f t="shared" si="61"/>
        <v>8.0131904636492942E-3</v>
      </c>
      <c r="AK54" s="672"/>
      <c r="AL54" s="261" t="s">
        <v>399</v>
      </c>
      <c r="AM54" s="132" t="s">
        <v>338</v>
      </c>
      <c r="AN54" s="132">
        <v>33.136978149414063</v>
      </c>
      <c r="AO54" s="132">
        <f t="shared" si="6"/>
        <v>1.0587065777557059E-10</v>
      </c>
      <c r="AP54" s="520">
        <f t="shared" si="62"/>
        <v>4.8587413689363751E-3</v>
      </c>
      <c r="AQ54" s="672"/>
      <c r="AR54" s="261" t="s">
        <v>405</v>
      </c>
      <c r="AS54" s="132" t="s">
        <v>338</v>
      </c>
      <c r="AT54" s="122">
        <v>34.998439788818359</v>
      </c>
      <c r="AU54" s="132">
        <f t="shared" si="7"/>
        <v>2.9135321993555756E-11</v>
      </c>
      <c r="AV54" s="79">
        <f t="shared" si="63"/>
        <v>3.1600401951299516E-4</v>
      </c>
      <c r="AW54" s="789"/>
      <c r="AX54" s="261" t="s">
        <v>349</v>
      </c>
      <c r="AY54" s="132" t="s">
        <v>424</v>
      </c>
      <c r="AZ54" s="132">
        <v>18.306951522827148</v>
      </c>
      <c r="BA54" s="132">
        <f t="shared" si="8"/>
        <v>3.0836030208997696E-6</v>
      </c>
      <c r="BB54" s="520">
        <f t="shared" si="64"/>
        <v>6.2633997244868516</v>
      </c>
      <c r="BC54" s="672"/>
      <c r="BD54" s="261" t="s">
        <v>429</v>
      </c>
      <c r="BE54" s="132" t="s">
        <v>424</v>
      </c>
      <c r="BF54" s="132">
        <v>20.563348770141602</v>
      </c>
      <c r="BG54" s="132">
        <f t="shared" si="9"/>
        <v>6.4537956336732598E-7</v>
      </c>
      <c r="BH54" s="520">
        <f t="shared" si="65"/>
        <v>4.4378542584697982</v>
      </c>
      <c r="BI54" s="672"/>
      <c r="BJ54" s="261" t="s">
        <v>439</v>
      </c>
      <c r="BK54" s="132" t="s">
        <v>424</v>
      </c>
      <c r="BL54" s="132">
        <v>20.144412994384766</v>
      </c>
      <c r="BM54" s="132">
        <f t="shared" si="10"/>
        <v>8.6283438441997177E-7</v>
      </c>
      <c r="BN54" s="520">
        <f t="shared" si="66"/>
        <v>3.3249697540506515</v>
      </c>
      <c r="BO54" s="672"/>
      <c r="BP54" s="261" t="s">
        <v>358</v>
      </c>
      <c r="BQ54" s="132" t="s">
        <v>424</v>
      </c>
      <c r="BR54" s="132">
        <v>18.062110900878906</v>
      </c>
      <c r="BS54" s="132">
        <f t="shared" si="11"/>
        <v>3.6539519652087938E-6</v>
      </c>
      <c r="BT54" s="520">
        <f t="shared" si="67"/>
        <v>9.53763512658049</v>
      </c>
      <c r="BU54" s="672"/>
      <c r="BV54" s="261" t="s">
        <v>389</v>
      </c>
      <c r="BW54" s="132" t="s">
        <v>424</v>
      </c>
      <c r="BX54" s="132">
        <v>22.011852264404297</v>
      </c>
      <c r="BY54" s="132">
        <f t="shared" si="12"/>
        <v>2.3646790748172564E-7</v>
      </c>
      <c r="BZ54" s="520">
        <f t="shared" si="68"/>
        <v>0.48551129079679645</v>
      </c>
      <c r="CA54" s="672"/>
      <c r="CB54" s="261" t="s">
        <v>395</v>
      </c>
      <c r="CC54" s="132" t="s">
        <v>424</v>
      </c>
      <c r="CD54" s="132">
        <v>21.601526260375977</v>
      </c>
      <c r="CE54" s="132">
        <f t="shared" si="13"/>
        <v>3.1426255966227217E-7</v>
      </c>
      <c r="CF54" s="520">
        <f t="shared" si="69"/>
        <v>0.21926118596299196</v>
      </c>
      <c r="CG54" s="672"/>
      <c r="CH54" s="261" t="s">
        <v>402</v>
      </c>
      <c r="CI54" s="132" t="s">
        <v>424</v>
      </c>
      <c r="CJ54" s="132">
        <v>16.575557708740234</v>
      </c>
      <c r="CK54" s="132">
        <f t="shared" si="14"/>
        <v>1.0239056389908178E-5</v>
      </c>
      <c r="CL54" s="520">
        <f t="shared" si="70"/>
        <v>47.668443588837242</v>
      </c>
      <c r="CM54" s="672"/>
    </row>
    <row r="55" spans="2:91" x14ac:dyDescent="0.25">
      <c r="B55" s="479" t="s">
        <v>350</v>
      </c>
      <c r="C55" s="132" t="s">
        <v>338</v>
      </c>
      <c r="D55" s="132">
        <v>16.205816268920898</v>
      </c>
      <c r="E55" s="122">
        <f t="shared" si="0"/>
        <v>1.3230102193709192E-5</v>
      </c>
      <c r="F55">
        <f t="shared" si="57"/>
        <v>1.1304104011564682E-2</v>
      </c>
      <c r="G55" s="789">
        <f>AVERAGE(F55:F56)</f>
        <v>1.0468371829629151E-2</v>
      </c>
      <c r="H55" s="479">
        <v>28</v>
      </c>
      <c r="I55" s="132" t="s">
        <v>338</v>
      </c>
      <c r="J55" s="132">
        <v>27.301515579223633</v>
      </c>
      <c r="K55" s="122">
        <f t="shared" si="1"/>
        <v>6.0453977990382412E-9</v>
      </c>
      <c r="L55">
        <f t="shared" si="59"/>
        <v>4.298315828944252E-4</v>
      </c>
      <c r="M55" s="789">
        <f>AVERAGE(L55:L56)</f>
        <v>3.5272110412468198E-4</v>
      </c>
      <c r="N55" s="490">
        <v>5</v>
      </c>
      <c r="O55" s="79" t="s">
        <v>338</v>
      </c>
      <c r="P55" s="79">
        <v>27.107109069824219</v>
      </c>
      <c r="Q55" s="79">
        <f t="shared" si="2"/>
        <v>6.9174666534961011E-9</v>
      </c>
      <c r="R55" s="79">
        <f t="shared" si="60"/>
        <v>8.5096742727592371E-3</v>
      </c>
      <c r="S55" s="789">
        <f>AVERAGE(R55:R56)</f>
        <v>7.3722858207584917E-3</v>
      </c>
      <c r="T55" s="80" t="s">
        <v>359</v>
      </c>
      <c r="U55" s="79" t="s">
        <v>338</v>
      </c>
      <c r="V55" s="79" t="s">
        <v>333</v>
      </c>
      <c r="W55" s="79" t="e">
        <f t="shared" si="3"/>
        <v>#VALUE!</v>
      </c>
      <c r="X55" s="79" t="e">
        <f t="shared" si="58"/>
        <v>#VALUE!</v>
      </c>
      <c r="Y55" s="789" t="e">
        <f>AVERAGE(X55:X56)</f>
        <v>#VALUE!</v>
      </c>
      <c r="Z55" s="261" t="s">
        <v>387</v>
      </c>
      <c r="AA55" s="132" t="s">
        <v>338</v>
      </c>
      <c r="AB55" s="132">
        <v>32.961860656738281</v>
      </c>
      <c r="AC55" s="132">
        <f t="shared" si="4"/>
        <v>1.1953393855576403E-10</v>
      </c>
      <c r="AD55" s="520">
        <f>AC55/$AC$7</f>
        <v>1.1188288990412853E-3</v>
      </c>
      <c r="AE55" s="672">
        <f>AVERAGE(AD55:AD56)</f>
        <v>7.9268192168762785E-4</v>
      </c>
      <c r="AF55" s="261" t="s">
        <v>393</v>
      </c>
      <c r="AG55" s="132" t="s">
        <v>338</v>
      </c>
      <c r="AH55" s="132">
        <v>30.922647476196289</v>
      </c>
      <c r="AI55" s="132">
        <f t="shared" si="5"/>
        <v>4.9130995540089343E-10</v>
      </c>
      <c r="AJ55" s="520">
        <f t="shared" si="61"/>
        <v>7.1694285032545668E-3</v>
      </c>
      <c r="AK55" s="672">
        <f>AVERAGE(AJ55:AJ56)</f>
        <v>7.2788745986643744E-3</v>
      </c>
      <c r="AL55" s="261" t="s">
        <v>400</v>
      </c>
      <c r="AM55" s="132" t="s">
        <v>338</v>
      </c>
      <c r="AN55" s="132">
        <v>34.275135040283203</v>
      </c>
      <c r="AO55" s="132">
        <f t="shared" si="6"/>
        <v>4.8101237260136681E-11</v>
      </c>
      <c r="AP55" s="520">
        <f t="shared" si="62"/>
        <v>5.3285053171242525E-4</v>
      </c>
      <c r="AQ55" s="672">
        <f>AVERAGE(AP55:AP56)</f>
        <v>5.4658289150097221E-4</v>
      </c>
      <c r="AR55" s="261" t="s">
        <v>406</v>
      </c>
      <c r="AS55" s="132" t="s">
        <v>338</v>
      </c>
      <c r="AT55" s="122">
        <v>33.941326141357422</v>
      </c>
      <c r="AU55" s="132">
        <f t="shared" si="7"/>
        <v>6.0623741882038017E-11</v>
      </c>
      <c r="AV55" s="79">
        <f t="shared" si="63"/>
        <v>1.1922660385141207E-3</v>
      </c>
      <c r="AW55" s="789">
        <f>AVERAGE(AV55:AV56)</f>
        <v>7.3303473629548143E-4</v>
      </c>
      <c r="AX55" s="261" t="s">
        <v>350</v>
      </c>
      <c r="AY55" s="132" t="s">
        <v>424</v>
      </c>
      <c r="AZ55" s="132">
        <v>18.315431594848633</v>
      </c>
      <c r="BA55" s="132">
        <f t="shared" si="8"/>
        <v>3.0655309587505622E-6</v>
      </c>
      <c r="BB55" s="520">
        <f t="shared" si="64"/>
        <v>11.711069042081366</v>
      </c>
      <c r="BC55" s="672">
        <f>AVERAGE(BB55:BB56)</f>
        <v>11.366813222040381</v>
      </c>
      <c r="BD55" s="261" t="s">
        <v>430</v>
      </c>
      <c r="BE55" s="132" t="s">
        <v>424</v>
      </c>
      <c r="BF55" s="132">
        <v>18.963272094726563</v>
      </c>
      <c r="BG55" s="132">
        <f t="shared" si="9"/>
        <v>1.9565289733287443E-6</v>
      </c>
      <c r="BH55" s="520">
        <f t="shared" si="65"/>
        <v>3.4122680277111219</v>
      </c>
      <c r="BI55" s="672">
        <f>AVERAGE(BH55:BH56)</f>
        <v>5.9932063262155975</v>
      </c>
      <c r="BJ55" s="261" t="s">
        <v>440</v>
      </c>
      <c r="BK55" s="132" t="s">
        <v>424</v>
      </c>
      <c r="BL55" s="132">
        <v>20.917665481567383</v>
      </c>
      <c r="BM55" s="132">
        <f t="shared" si="10"/>
        <v>5.0484173519433118E-7</v>
      </c>
      <c r="BN55" s="520">
        <f t="shared" si="66"/>
        <v>1.843201240094146</v>
      </c>
      <c r="BO55" s="672">
        <f>AVERAGE(BN55:BN56)</f>
        <v>2.1537409147701227</v>
      </c>
      <c r="BP55" s="261" t="s">
        <v>359</v>
      </c>
      <c r="BQ55" s="132" t="s">
        <v>424</v>
      </c>
      <c r="BR55" s="132">
        <v>19.285974502563477</v>
      </c>
      <c r="BS55" s="132">
        <f t="shared" si="11"/>
        <v>1.5643833286881925E-6</v>
      </c>
      <c r="BT55" s="520">
        <f t="shared" si="67"/>
        <v>5.0827782628242346</v>
      </c>
      <c r="BU55" s="672">
        <f>AVERAGE(BT55:BT56)</f>
        <v>6.0631700380536442</v>
      </c>
      <c r="BV55" s="261" t="s">
        <v>390</v>
      </c>
      <c r="BW55" s="132" t="s">
        <v>424</v>
      </c>
      <c r="BX55" s="132">
        <v>20.856998443603516</v>
      </c>
      <c r="BY55" s="132">
        <f t="shared" si="12"/>
        <v>5.2652360839200954E-7</v>
      </c>
      <c r="BZ55" s="520">
        <f t="shared" si="68"/>
        <v>0.36703690590021315</v>
      </c>
      <c r="CA55" s="672">
        <f>AVERAGE(BZ55:BZ56)</f>
        <v>0.39394387563406902</v>
      </c>
      <c r="CB55" s="261" t="s">
        <v>396</v>
      </c>
      <c r="CC55" s="132" t="s">
        <v>424</v>
      </c>
      <c r="CD55" s="132">
        <v>22.895120620727539</v>
      </c>
      <c r="CE55" s="132">
        <f t="shared" si="13"/>
        <v>1.2819820336941734E-7</v>
      </c>
      <c r="CF55" s="520">
        <f t="shared" si="69"/>
        <v>0.18869469228910513</v>
      </c>
      <c r="CG55" s="672">
        <f>AVERAGE(CF55:CF56)</f>
        <v>0.19662546112582946</v>
      </c>
      <c r="CH55" s="261" t="s">
        <v>403</v>
      </c>
      <c r="CI55" s="132" t="s">
        <v>424</v>
      </c>
      <c r="CJ55" s="132">
        <v>19.344142913818359</v>
      </c>
      <c r="CK55" s="132">
        <f t="shared" si="14"/>
        <v>1.5025631806648481E-6</v>
      </c>
      <c r="CL55" s="520">
        <f t="shared" si="70"/>
        <v>83.441671424432258</v>
      </c>
      <c r="CM55" s="672">
        <f>AVERAGE(CL55:CL56)</f>
        <v>78.735372399606462</v>
      </c>
    </row>
    <row r="56" spans="2:91" x14ac:dyDescent="0.25">
      <c r="B56" s="479" t="s">
        <v>350</v>
      </c>
      <c r="C56" s="132" t="s">
        <v>338</v>
      </c>
      <c r="D56" s="132">
        <v>18.702739715576172</v>
      </c>
      <c r="E56" s="122">
        <f t="shared" si="0"/>
        <v>2.3437665109086721E-6</v>
      </c>
      <c r="F56">
        <f t="shared" si="57"/>
        <v>9.6326396476936176E-3</v>
      </c>
      <c r="G56" s="789"/>
      <c r="H56" s="479">
        <v>28</v>
      </c>
      <c r="I56" s="132" t="s">
        <v>338</v>
      </c>
      <c r="J56" s="132">
        <v>27.895668029785156</v>
      </c>
      <c r="K56" s="122">
        <f t="shared" si="1"/>
        <v>4.0046740533002302E-9</v>
      </c>
      <c r="L56">
        <f t="shared" si="59"/>
        <v>2.7561062535493876E-4</v>
      </c>
      <c r="M56" s="789"/>
      <c r="N56" s="490">
        <v>5</v>
      </c>
      <c r="O56" s="79" t="s">
        <v>338</v>
      </c>
      <c r="P56" s="79">
        <v>27.859962463378906</v>
      </c>
      <c r="Q56" s="79">
        <f t="shared" si="2"/>
        <v>4.1050232427606197E-9</v>
      </c>
      <c r="R56" s="79">
        <f t="shared" si="60"/>
        <v>6.2348973687577471E-3</v>
      </c>
      <c r="S56" s="789"/>
      <c r="T56" s="257" t="s">
        <v>359</v>
      </c>
      <c r="U56" s="138" t="s">
        <v>338</v>
      </c>
      <c r="V56" s="138" t="s">
        <v>333</v>
      </c>
      <c r="W56" s="138" t="e">
        <f t="shared" si="3"/>
        <v>#VALUE!</v>
      </c>
      <c r="X56" s="138" t="e">
        <f t="shared" si="58"/>
        <v>#VALUE!</v>
      </c>
      <c r="Y56" s="794"/>
      <c r="Z56" s="261" t="s">
        <v>387</v>
      </c>
      <c r="AA56" s="132" t="s">
        <v>338</v>
      </c>
      <c r="AB56" s="132">
        <v>33.964057922363281</v>
      </c>
      <c r="AC56" s="132">
        <f t="shared" si="4"/>
        <v>5.9676011764955355E-11</v>
      </c>
      <c r="AD56" s="520">
        <f>AC56/$AC$8</f>
        <v>4.6653494433397045E-4</v>
      </c>
      <c r="AE56" s="672"/>
      <c r="AF56" s="261" t="s">
        <v>393</v>
      </c>
      <c r="AG56" s="132" t="s">
        <v>338</v>
      </c>
      <c r="AH56" s="132">
        <v>31.217678070068359</v>
      </c>
      <c r="AI56" s="132">
        <f t="shared" si="5"/>
        <v>4.0044465933925716E-10</v>
      </c>
      <c r="AJ56" s="520">
        <f t="shared" si="61"/>
        <v>7.3883206940741821E-3</v>
      </c>
      <c r="AK56" s="672"/>
      <c r="AL56" s="261" t="s">
        <v>400</v>
      </c>
      <c r="AM56" s="132" t="s">
        <v>338</v>
      </c>
      <c r="AN56" s="132">
        <v>34.327236175537109</v>
      </c>
      <c r="AO56" s="132">
        <f t="shared" si="6"/>
        <v>4.6395113650931713E-11</v>
      </c>
      <c r="AP56" s="520">
        <f t="shared" si="62"/>
        <v>5.6031525128951917E-4</v>
      </c>
      <c r="AQ56" s="672"/>
      <c r="AR56" s="261" t="s">
        <v>406</v>
      </c>
      <c r="AS56" s="132" t="s">
        <v>338</v>
      </c>
      <c r="AT56" s="122">
        <v>34.735866546630859</v>
      </c>
      <c r="AU56" s="132">
        <f t="shared" si="7"/>
        <v>3.495121230179352E-11</v>
      </c>
      <c r="AV56" s="79">
        <f t="shared" si="63"/>
        <v>2.7380343407684205E-4</v>
      </c>
      <c r="AW56" s="789"/>
      <c r="AX56" s="261" t="s">
        <v>350</v>
      </c>
      <c r="AY56" s="132" t="s">
        <v>424</v>
      </c>
      <c r="AZ56" s="132">
        <v>18.562566757202148</v>
      </c>
      <c r="BA56" s="132">
        <f t="shared" si="8"/>
        <v>2.5829179449213315E-6</v>
      </c>
      <c r="BB56" s="520">
        <f t="shared" si="64"/>
        <v>11.022557401999398</v>
      </c>
      <c r="BC56" s="672"/>
      <c r="BD56" s="261" t="s">
        <v>430</v>
      </c>
      <c r="BE56" s="132" t="s">
        <v>424</v>
      </c>
      <c r="BF56" s="132">
        <v>19.09825325012207</v>
      </c>
      <c r="BG56" s="132">
        <f t="shared" si="9"/>
        <v>1.7817751881051884E-6</v>
      </c>
      <c r="BH56" s="520">
        <f t="shared" si="65"/>
        <v>8.5741446247200734</v>
      </c>
      <c r="BI56" s="672"/>
      <c r="BJ56" s="261" t="s">
        <v>440</v>
      </c>
      <c r="BK56" s="132" t="s">
        <v>424</v>
      </c>
      <c r="BL56" s="132">
        <v>20.948135375976563</v>
      </c>
      <c r="BM56" s="132">
        <f t="shared" si="10"/>
        <v>4.9429122268769006E-7</v>
      </c>
      <c r="BN56" s="520">
        <f t="shared" si="66"/>
        <v>2.4642805894461</v>
      </c>
      <c r="BO56" s="672"/>
      <c r="BP56" s="261" t="s">
        <v>359</v>
      </c>
      <c r="BQ56" s="132" t="s">
        <v>424</v>
      </c>
      <c r="BR56" s="132">
        <v>19.507560729980469</v>
      </c>
      <c r="BS56" s="132">
        <f t="shared" si="11"/>
        <v>1.3416495151430651E-6</v>
      </c>
      <c r="BT56" s="520">
        <f t="shared" si="67"/>
        <v>7.0435618132830538</v>
      </c>
      <c r="BU56" s="672"/>
      <c r="BV56" s="261" t="s">
        <v>390</v>
      </c>
      <c r="BW56" s="132" t="s">
        <v>424</v>
      </c>
      <c r="BX56" s="132">
        <v>20.792739868164063</v>
      </c>
      <c r="BY56" s="132">
        <f t="shared" si="12"/>
        <v>5.5050543073647552E-7</v>
      </c>
      <c r="BZ56" s="520">
        <f t="shared" si="68"/>
        <v>0.42085084536792489</v>
      </c>
      <c r="CA56" s="672"/>
      <c r="CB56" s="261" t="s">
        <v>396</v>
      </c>
      <c r="CC56" s="132" t="s">
        <v>424</v>
      </c>
      <c r="CD56" s="132">
        <v>22.657678604125977</v>
      </c>
      <c r="CE56" s="132">
        <f t="shared" si="13"/>
        <v>1.5113293208359773E-7</v>
      </c>
      <c r="CF56" s="520">
        <f t="shared" si="69"/>
        <v>0.20455622996255377</v>
      </c>
      <c r="CG56" s="672"/>
      <c r="CH56" s="261" t="s">
        <v>403</v>
      </c>
      <c r="CI56" s="132" t="s">
        <v>424</v>
      </c>
      <c r="CJ56" s="132">
        <v>19.984827041625977</v>
      </c>
      <c r="CK56" s="132">
        <f t="shared" si="14"/>
        <v>9.6375712617471611E-7</v>
      </c>
      <c r="CL56" s="520">
        <f t="shared" si="70"/>
        <v>74.029073374780666</v>
      </c>
      <c r="CM56" s="672"/>
    </row>
    <row r="57" spans="2:91" x14ac:dyDescent="0.25">
      <c r="B57" s="479" t="s">
        <v>351</v>
      </c>
      <c r="C57" s="132" t="s">
        <v>338</v>
      </c>
      <c r="D57" s="132">
        <v>19.16236686706543</v>
      </c>
      <c r="E57" s="122">
        <f t="shared" si="0"/>
        <v>1.7043264542706704E-6</v>
      </c>
      <c r="F57">
        <f t="shared" si="57"/>
        <v>1.5638091941903864E-2</v>
      </c>
      <c r="G57" s="789">
        <f>AVERAGE(F57:F58)</f>
        <v>1.2005368820543427E-2</v>
      </c>
      <c r="H57" s="479" t="s">
        <v>334</v>
      </c>
      <c r="I57" s="132" t="s">
        <v>338</v>
      </c>
      <c r="J57" s="132">
        <v>27.817562103271484</v>
      </c>
      <c r="K57" s="122">
        <f t="shared" si="1"/>
        <v>4.2274589647951785E-9</v>
      </c>
      <c r="L57">
        <f t="shared" si="59"/>
        <v>7.5075524235452954E-4</v>
      </c>
      <c r="M57" s="789">
        <f>AVERAGE(L57:L58)</f>
        <v>7.9271572185492505E-4</v>
      </c>
      <c r="N57" s="490">
        <v>18</v>
      </c>
      <c r="O57" s="79" t="s">
        <v>338</v>
      </c>
      <c r="P57" s="79">
        <v>25.321311950683594</v>
      </c>
      <c r="Q57" s="79">
        <f t="shared" si="2"/>
        <v>2.3852042432516087E-8</v>
      </c>
      <c r="R57" s="79">
        <f t="shared" si="60"/>
        <v>2.3577514504049209E-2</v>
      </c>
      <c r="S57" s="789">
        <f>AVERAGE(R57:R58)</f>
        <v>2.3731705038383767E-2</v>
      </c>
      <c r="T57" s="496" t="s">
        <v>360</v>
      </c>
      <c r="U57" s="274" t="s">
        <v>360</v>
      </c>
      <c r="V57" s="274" t="s">
        <v>360</v>
      </c>
      <c r="W57" s="274"/>
      <c r="X57" s="274"/>
      <c r="Y57" s="484"/>
      <c r="Z57" s="261" t="s">
        <v>388</v>
      </c>
      <c r="AA57" s="132" t="s">
        <v>338</v>
      </c>
      <c r="AB57" s="132">
        <v>31.971221923828125</v>
      </c>
      <c r="AC57" s="132">
        <f t="shared" si="4"/>
        <v>2.3752165074961127E-10</v>
      </c>
      <c r="AD57" s="520">
        <f>AC57/$AC$9</f>
        <v>1.1127600424895455E-2</v>
      </c>
      <c r="AE57" s="672">
        <f>AVERAGE(AD57:AD58)</f>
        <v>8.6589002096429425E-3</v>
      </c>
      <c r="AF57" s="261" t="s">
        <v>394</v>
      </c>
      <c r="AG57" s="132" t="s">
        <v>338</v>
      </c>
      <c r="AH57" s="132">
        <v>36.949432373046875</v>
      </c>
      <c r="AI57" s="132">
        <f t="shared" si="5"/>
        <v>7.5355079603793966E-12</v>
      </c>
      <c r="AJ57" s="520">
        <f t="shared" si="61"/>
        <v>3.0667873016932816E-4</v>
      </c>
      <c r="AK57" s="672">
        <f>AVERAGE(AJ57:AJ58)</f>
        <v>1.1687132183264817E-3</v>
      </c>
      <c r="AL57" s="261" t="s">
        <v>401</v>
      </c>
      <c r="AM57" s="132" t="s">
        <v>338</v>
      </c>
      <c r="AN57" s="132">
        <v>33.300064086914063</v>
      </c>
      <c r="AO57" s="132">
        <f t="shared" si="6"/>
        <v>9.4554423768394812E-11</v>
      </c>
      <c r="AP57" s="520">
        <f t="shared" si="62"/>
        <v>3.5922718405828635E-3</v>
      </c>
      <c r="AQ57" s="672">
        <f>AVERAGE(AP57:AP58)</f>
        <v>5.5559515266873204E-3</v>
      </c>
      <c r="AR57" s="261" t="s">
        <v>407</v>
      </c>
      <c r="AS57" s="132" t="s">
        <v>338</v>
      </c>
      <c r="AT57" s="122">
        <v>33.830154418945313</v>
      </c>
      <c r="AU57" s="132">
        <f t="shared" si="7"/>
        <v>6.5480013752510312E-11</v>
      </c>
      <c r="AV57" s="79">
        <f t="shared" si="63"/>
        <v>3.2747138412207293E-4</v>
      </c>
      <c r="AW57" s="789">
        <f>AVERAGE(AV57:AV58)</f>
        <v>5.1216118807815235E-4</v>
      </c>
      <c r="AX57" s="261" t="s">
        <v>351</v>
      </c>
      <c r="AY57" s="132" t="s">
        <v>424</v>
      </c>
      <c r="AZ57" s="132">
        <v>18.813522338867188</v>
      </c>
      <c r="BA57" s="132">
        <f t="shared" si="8"/>
        <v>2.1705282961669027E-6</v>
      </c>
      <c r="BB57" s="520">
        <f t="shared" si="64"/>
        <v>15.067899095307059</v>
      </c>
      <c r="BC57" s="672">
        <f>BB57</f>
        <v>15.067899095307059</v>
      </c>
      <c r="BD57" s="261" t="s">
        <v>334</v>
      </c>
      <c r="BE57" s="132" t="s">
        <v>424</v>
      </c>
      <c r="BF57" s="132">
        <v>19.701288223266602</v>
      </c>
      <c r="BG57" s="132">
        <f t="shared" si="9"/>
        <v>1.1730628779301156E-6</v>
      </c>
      <c r="BH57" s="520">
        <f t="shared" si="65"/>
        <v>4.7127913245812767</v>
      </c>
      <c r="BI57" s="672">
        <f>AVERAGE(BH57:BH58)</f>
        <v>4.7422139667586478</v>
      </c>
      <c r="BJ57" s="261" t="s">
        <v>441</v>
      </c>
      <c r="BK57" s="132" t="s">
        <v>424</v>
      </c>
      <c r="BL57" s="132">
        <v>20.027563095092773</v>
      </c>
      <c r="BM57" s="132">
        <f t="shared" si="10"/>
        <v>9.3562704801290302E-7</v>
      </c>
      <c r="BN57" s="520">
        <f t="shared" si="66"/>
        <v>1.9247558367280988</v>
      </c>
      <c r="BO57" s="672">
        <f>AVERAGE(BN57:BN58)</f>
        <v>2.2905981691953738</v>
      </c>
      <c r="BP57" s="261" t="s">
        <v>386</v>
      </c>
      <c r="BQ57" s="132" t="s">
        <v>424</v>
      </c>
      <c r="BR57" s="132">
        <v>23.443405151367188</v>
      </c>
      <c r="BS57" s="132">
        <f t="shared" si="11"/>
        <v>8.7666132781982406E-8</v>
      </c>
      <c r="BT57" s="520">
        <f t="shared" si="67"/>
        <v>46.140255940084515</v>
      </c>
      <c r="BU57" s="672">
        <f>AVERAGE(BT57:BT58)</f>
        <v>34.298423822182514</v>
      </c>
      <c r="BV57" s="261" t="s">
        <v>392</v>
      </c>
      <c r="BW57" s="132" t="s">
        <v>424</v>
      </c>
      <c r="BX57" s="132">
        <v>21.745819091796875</v>
      </c>
      <c r="BY57" s="132">
        <f t="shared" si="12"/>
        <v>2.8435192526870249E-7</v>
      </c>
      <c r="BZ57" s="520">
        <f t="shared" si="68"/>
        <v>0.28507530568446166</v>
      </c>
      <c r="CA57" s="672">
        <f>AVERAGE(BZ57:BZ58)</f>
        <v>0.25280958835743683</v>
      </c>
      <c r="CB57" s="261" t="s">
        <v>399</v>
      </c>
      <c r="CC57" s="132" t="s">
        <v>424</v>
      </c>
      <c r="CD57" s="132">
        <v>21.995733261108398</v>
      </c>
      <c r="CE57" s="132">
        <f t="shared" si="13"/>
        <v>2.3912474052562627E-7</v>
      </c>
      <c r="CF57" s="520">
        <f t="shared" si="69"/>
        <v>0.21741780887904683</v>
      </c>
      <c r="CG57" s="672">
        <f>AVERAGE(CF57:CF58)</f>
        <v>0.23729901445364812</v>
      </c>
      <c r="CH57" s="261" t="s">
        <v>405</v>
      </c>
      <c r="CI57" s="132" t="s">
        <v>424</v>
      </c>
      <c r="CJ57" s="132">
        <v>17.787563323974609</v>
      </c>
      <c r="CK57" s="132">
        <f t="shared" si="14"/>
        <v>4.4198740089450927E-6</v>
      </c>
      <c r="CL57" s="520">
        <f t="shared" si="70"/>
        <v>39.351884606619024</v>
      </c>
      <c r="CM57" s="672">
        <f>AVERAGE(CL57:CL58)</f>
        <v>45.688143125843695</v>
      </c>
    </row>
    <row r="58" spans="2:91" x14ac:dyDescent="0.25">
      <c r="B58" s="479" t="s">
        <v>351</v>
      </c>
      <c r="C58" s="132" t="s">
        <v>338</v>
      </c>
      <c r="D58" s="132">
        <v>19.439729690551758</v>
      </c>
      <c r="E58" s="122">
        <f t="shared" si="0"/>
        <v>1.4062361416717932E-6</v>
      </c>
      <c r="F58">
        <f t="shared" si="57"/>
        <v>8.3726456991829908E-3</v>
      </c>
      <c r="G58" s="789"/>
      <c r="H58" s="479" t="s">
        <v>334</v>
      </c>
      <c r="I58" s="132" t="s">
        <v>338</v>
      </c>
      <c r="J58" s="132">
        <v>27.467805862426758</v>
      </c>
      <c r="K58" s="122">
        <f t="shared" si="1"/>
        <v>5.3872424395197143E-9</v>
      </c>
      <c r="L58">
        <f t="shared" si="59"/>
        <v>8.3467620135532045E-4</v>
      </c>
      <c r="M58" s="789"/>
      <c r="N58" s="490">
        <v>18</v>
      </c>
      <c r="O58" s="79" t="s">
        <v>338</v>
      </c>
      <c r="P58" s="79">
        <v>25.2735595703125</v>
      </c>
      <c r="Q58" s="79">
        <f t="shared" si="2"/>
        <v>2.4654742563557716E-8</v>
      </c>
      <c r="R58" s="79">
        <f t="shared" si="60"/>
        <v>2.3885895572718328E-2</v>
      </c>
      <c r="S58" s="789"/>
      <c r="T58" s="496" t="s">
        <v>360</v>
      </c>
      <c r="U58" s="274" t="s">
        <v>360</v>
      </c>
      <c r="V58" s="274" t="s">
        <v>360</v>
      </c>
      <c r="W58" s="274"/>
      <c r="X58" s="274"/>
      <c r="Y58" s="484"/>
      <c r="Z58" s="261" t="s">
        <v>388</v>
      </c>
      <c r="AA58" s="132" t="s">
        <v>338</v>
      </c>
      <c r="AB58" s="132">
        <v>32.898593902587891</v>
      </c>
      <c r="AC58" s="132">
        <f t="shared" si="4"/>
        <v>1.2489251756900355E-10</v>
      </c>
      <c r="AD58" s="520">
        <f>AC58/$AC$10</f>
        <v>6.190199994390428E-3</v>
      </c>
      <c r="AE58" s="672"/>
      <c r="AF58" s="261" t="s">
        <v>394</v>
      </c>
      <c r="AG58" s="132" t="s">
        <v>338</v>
      </c>
      <c r="AH58" s="132">
        <v>34.984287261962891</v>
      </c>
      <c r="AI58" s="132">
        <f t="shared" si="5"/>
        <v>2.9422539680095375E-11</v>
      </c>
      <c r="AJ58" s="520">
        <f t="shared" si="61"/>
        <v>2.0307477064836353E-3</v>
      </c>
      <c r="AK58" s="672"/>
      <c r="AL58" s="261" t="s">
        <v>401</v>
      </c>
      <c r="AM58" s="132" t="s">
        <v>338</v>
      </c>
      <c r="AN58" s="132">
        <v>32.942737579345703</v>
      </c>
      <c r="AO58" s="132">
        <f t="shared" si="6"/>
        <v>1.2112892120287927E-10</v>
      </c>
      <c r="AP58" s="520">
        <f t="shared" si="62"/>
        <v>7.5196312127917778E-3</v>
      </c>
      <c r="AQ58" s="672"/>
      <c r="AR58" s="261" t="s">
        <v>407</v>
      </c>
      <c r="AS58" s="132" t="s">
        <v>338</v>
      </c>
      <c r="AT58" s="122">
        <v>33.40936279296875</v>
      </c>
      <c r="AU58" s="132">
        <f t="shared" si="7"/>
        <v>8.7655599288071009E-11</v>
      </c>
      <c r="AV58" s="79">
        <f t="shared" si="63"/>
        <v>6.9685099203423172E-4</v>
      </c>
      <c r="AW58" s="789"/>
      <c r="AX58" s="261" t="s">
        <v>351</v>
      </c>
      <c r="AY58" s="132" t="s">
        <v>424</v>
      </c>
      <c r="AZ58" s="132" t="s">
        <v>333</v>
      </c>
      <c r="BA58" s="132" t="e">
        <f t="shared" si="8"/>
        <v>#VALUE!</v>
      </c>
      <c r="BB58" s="520" t="e">
        <f t="shared" si="64"/>
        <v>#VALUE!</v>
      </c>
      <c r="BC58" s="672"/>
      <c r="BD58" s="261" t="s">
        <v>334</v>
      </c>
      <c r="BE58" s="132" t="s">
        <v>424</v>
      </c>
      <c r="BF58" s="132">
        <v>20.195653915405273</v>
      </c>
      <c r="BG58" s="132">
        <f t="shared" si="9"/>
        <v>8.3272650749208114E-7</v>
      </c>
      <c r="BH58" s="520">
        <f t="shared" si="65"/>
        <v>4.7716366089360198</v>
      </c>
      <c r="BI58" s="672"/>
      <c r="BJ58" s="261" t="s">
        <v>441</v>
      </c>
      <c r="BK58" s="132" t="s">
        <v>424</v>
      </c>
      <c r="BL58" s="132">
        <v>20.52558708190918</v>
      </c>
      <c r="BM58" s="132">
        <f t="shared" si="10"/>
        <v>6.6249500736783401E-7</v>
      </c>
      <c r="BN58" s="520">
        <f t="shared" si="66"/>
        <v>2.6564405016626491</v>
      </c>
      <c r="BO58" s="672"/>
      <c r="BP58" s="261" t="s">
        <v>386</v>
      </c>
      <c r="BQ58" s="132" t="s">
        <v>424</v>
      </c>
      <c r="BR58" s="132">
        <v>24.316005706787109</v>
      </c>
      <c r="BS58" s="132">
        <f t="shared" si="11"/>
        <v>4.7879863930864654E-8</v>
      </c>
      <c r="BT58" s="520">
        <f t="shared" si="67"/>
        <v>22.456591704280505</v>
      </c>
      <c r="BU58" s="672"/>
      <c r="BV58" s="261" t="s">
        <v>392</v>
      </c>
      <c r="BW58" s="132" t="s">
        <v>424</v>
      </c>
      <c r="BX58" s="132">
        <v>21.873428344726563</v>
      </c>
      <c r="BY58" s="132">
        <f t="shared" si="12"/>
        <v>2.6028069650823897E-7</v>
      </c>
      <c r="BZ58" s="520">
        <f t="shared" si="68"/>
        <v>0.22054387103041195</v>
      </c>
      <c r="CA58" s="672"/>
      <c r="CB58" s="261" t="s">
        <v>399</v>
      </c>
      <c r="CC58" s="132" t="s">
        <v>424</v>
      </c>
      <c r="CD58" s="132">
        <v>22.14149284362793</v>
      </c>
      <c r="CE58" s="132">
        <f t="shared" si="13"/>
        <v>2.1614565280981344E-7</v>
      </c>
      <c r="CF58" s="520">
        <f t="shared" si="69"/>
        <v>0.25718022002824942</v>
      </c>
      <c r="CG58" s="672"/>
      <c r="CH58" s="261" t="s">
        <v>405</v>
      </c>
      <c r="CI58" s="132" t="s">
        <v>424</v>
      </c>
      <c r="CJ58" s="132">
        <v>17.820596694946289</v>
      </c>
      <c r="CK58" s="132">
        <f t="shared" si="14"/>
        <v>4.3198220227350257E-6</v>
      </c>
      <c r="CL58" s="520">
        <f t="shared" si="70"/>
        <v>52.024401645068366</v>
      </c>
      <c r="CM58" s="672"/>
    </row>
    <row r="59" spans="2:91" x14ac:dyDescent="0.25">
      <c r="B59" s="479" t="s">
        <v>352</v>
      </c>
      <c r="C59" s="132" t="s">
        <v>338</v>
      </c>
      <c r="D59" s="132">
        <v>17.017452239990234</v>
      </c>
      <c r="E59" s="122">
        <f t="shared" si="0"/>
        <v>7.5376579533459013E-6</v>
      </c>
      <c r="F59">
        <f t="shared" si="57"/>
        <v>2.2788590863070977E-2</v>
      </c>
      <c r="G59" s="789">
        <f>AVERAGE(F59:F60)</f>
        <v>1.4273229683631686E-2</v>
      </c>
      <c r="H59" s="479">
        <v>19</v>
      </c>
      <c r="I59" s="132" t="s">
        <v>338</v>
      </c>
      <c r="J59" s="132">
        <v>29.140480041503906</v>
      </c>
      <c r="K59" s="122">
        <f t="shared" si="1"/>
        <v>1.6898237879518251E-9</v>
      </c>
      <c r="L59">
        <f t="shared" si="59"/>
        <v>2.690399634663868E-4</v>
      </c>
      <c r="M59" s="789">
        <f>AVERAGE(L59:L60)</f>
        <v>2.5580125749891179E-4</v>
      </c>
      <c r="N59" s="490">
        <v>4</v>
      </c>
      <c r="O59" s="79" t="s">
        <v>338</v>
      </c>
      <c r="P59" s="79">
        <v>27.324548721313477</v>
      </c>
      <c r="Q59" s="79">
        <f t="shared" si="2"/>
        <v>5.9496472417260138E-9</v>
      </c>
      <c r="R59" s="79">
        <f t="shared" si="60"/>
        <v>2.5393038608315772E-3</v>
      </c>
      <c r="S59" s="789">
        <f>AVERAGE(R59:R60)</f>
        <v>6.4031005414661394E-3</v>
      </c>
      <c r="T59" s="496" t="s">
        <v>360</v>
      </c>
      <c r="U59" s="274" t="s">
        <v>360</v>
      </c>
      <c r="V59" s="274" t="s">
        <v>360</v>
      </c>
      <c r="W59" s="274"/>
      <c r="X59" s="274"/>
      <c r="Y59" s="484"/>
      <c r="Z59" s="261" t="s">
        <v>389</v>
      </c>
      <c r="AA59" s="132" t="s">
        <v>338</v>
      </c>
      <c r="AB59" s="132">
        <v>34.950172424316406</v>
      </c>
      <c r="AC59" s="132">
        <f t="shared" si="4"/>
        <v>3.0126574015700066E-11</v>
      </c>
      <c r="AD59" s="520">
        <f>AC59/$AC$11</f>
        <v>2.2529571876414231E-3</v>
      </c>
      <c r="AE59" s="672">
        <f>AVERAGE(AD59:AD60)</f>
        <v>2.0288811703586896E-3</v>
      </c>
      <c r="AF59" s="261" t="s">
        <v>395</v>
      </c>
      <c r="AG59" s="132" t="s">
        <v>338</v>
      </c>
      <c r="AH59" s="132">
        <v>33.705902099609375</v>
      </c>
      <c r="AI59" s="132">
        <f t="shared" si="5"/>
        <v>7.136946432532509E-11</v>
      </c>
      <c r="AJ59" s="520">
        <f t="shared" si="61"/>
        <v>2.2690960419657876E-3</v>
      </c>
      <c r="AK59" s="672">
        <f>AVERAGE(AJ59:AJ60)</f>
        <v>2.976582651194771E-3</v>
      </c>
      <c r="AL59" s="261" t="s">
        <v>402</v>
      </c>
      <c r="AM59" s="132" t="s">
        <v>338</v>
      </c>
      <c r="AN59" s="132">
        <v>33.152336120605469</v>
      </c>
      <c r="AO59" s="132">
        <f t="shared" si="6"/>
        <v>1.047496067852634E-10</v>
      </c>
      <c r="AP59" s="520">
        <f t="shared" si="62"/>
        <v>4.1596539826089759E-4</v>
      </c>
      <c r="AQ59" s="672">
        <f>AVERAGE(AP59:AP60)</f>
        <v>5.2717152544109645E-4</v>
      </c>
      <c r="AR59" s="525" t="s">
        <v>360</v>
      </c>
      <c r="AS59" s="396" t="s">
        <v>360</v>
      </c>
      <c r="AT59" s="526" t="s">
        <v>360</v>
      </c>
      <c r="AU59" s="396"/>
      <c r="AV59" s="498"/>
      <c r="AW59" s="871"/>
      <c r="AX59" s="261" t="s">
        <v>352</v>
      </c>
      <c r="AY59" s="132" t="s">
        <v>424</v>
      </c>
      <c r="AZ59" s="132">
        <v>17.934412002563477</v>
      </c>
      <c r="BA59" s="132">
        <f t="shared" si="8"/>
        <v>3.9921240930001621E-6</v>
      </c>
      <c r="BB59" s="520">
        <f t="shared" si="64"/>
        <v>7.9633938281256578</v>
      </c>
      <c r="BC59" s="672">
        <f>AVERAGE(BB59:BB60)</f>
        <v>8.6255812224549757</v>
      </c>
      <c r="BD59" s="261" t="s">
        <v>431</v>
      </c>
      <c r="BE59" s="132" t="s">
        <v>424</v>
      </c>
      <c r="BF59" s="132">
        <v>19.257762908935547</v>
      </c>
      <c r="BG59" s="132">
        <f t="shared" si="9"/>
        <v>1.5952755720263907E-6</v>
      </c>
      <c r="BH59" s="520">
        <f t="shared" si="65"/>
        <v>9.7552095727664039</v>
      </c>
      <c r="BI59" s="672">
        <f>AVERAGE(BH59:BH60)</f>
        <v>7.3926985454398348</v>
      </c>
      <c r="BJ59" s="261" t="s">
        <v>442</v>
      </c>
      <c r="BK59" s="132" t="s">
        <v>424</v>
      </c>
      <c r="BL59" s="132">
        <v>20.724678039550781</v>
      </c>
      <c r="BM59" s="132">
        <f t="shared" si="10"/>
        <v>5.7709891742042484E-7</v>
      </c>
      <c r="BN59" s="520">
        <f t="shared" si="66"/>
        <v>1.5306225675236738</v>
      </c>
      <c r="BO59" s="672">
        <f>AVERAGE(BN59)</f>
        <v>1.5306225675236738</v>
      </c>
      <c r="BP59" s="261" t="s">
        <v>387</v>
      </c>
      <c r="BQ59" s="132" t="s">
        <v>424</v>
      </c>
      <c r="BR59" s="132">
        <v>20.761323928833008</v>
      </c>
      <c r="BS59" s="132">
        <f t="shared" si="11"/>
        <v>5.6262463956621816E-7</v>
      </c>
      <c r="BT59" s="520">
        <f t="shared" si="67"/>
        <v>22.989321754828413</v>
      </c>
      <c r="BU59" s="672">
        <f>AVERAGE(BT59:BT60)</f>
        <v>15.605634768550198</v>
      </c>
      <c r="BV59" s="261" t="s">
        <v>393</v>
      </c>
      <c r="BW59" s="132" t="s">
        <v>424</v>
      </c>
      <c r="BX59" s="132">
        <v>20.742883682250977</v>
      </c>
      <c r="BY59" s="132">
        <f t="shared" si="12"/>
        <v>5.6986215366788143E-7</v>
      </c>
      <c r="BZ59" s="520">
        <f t="shared" si="68"/>
        <v>0.25634820156471827</v>
      </c>
      <c r="CA59" s="672">
        <f>AVERAGE(BZ59:BZ60)</f>
        <v>0.28603723639964473</v>
      </c>
      <c r="CB59" s="261" t="s">
        <v>400</v>
      </c>
      <c r="CC59" s="132" t="s">
        <v>424</v>
      </c>
      <c r="CD59" s="132">
        <v>20.843729019165039</v>
      </c>
      <c r="CE59" s="132">
        <f t="shared" si="13"/>
        <v>5.3138873530607749E-7</v>
      </c>
      <c r="CF59" s="520">
        <f t="shared" si="69"/>
        <v>0.22287559147097155</v>
      </c>
      <c r="CG59" s="672">
        <f>AVERAGE(CF59:CF60)</f>
        <v>0.28468767892796243</v>
      </c>
      <c r="CH59" s="261" t="s">
        <v>406</v>
      </c>
      <c r="CI59" s="132" t="s">
        <v>424</v>
      </c>
      <c r="CJ59" s="132">
        <v>16.877162933349609</v>
      </c>
      <c r="CK59" s="132">
        <f t="shared" si="14"/>
        <v>8.307449603664161E-6</v>
      </c>
      <c r="CL59" s="520">
        <f t="shared" si="70"/>
        <v>66.288287059110047</v>
      </c>
      <c r="CM59" s="672">
        <f>AVERAGE(CL59:CL60)</f>
        <v>56.228061800752748</v>
      </c>
    </row>
    <row r="60" spans="2:91" x14ac:dyDescent="0.25">
      <c r="B60" s="479" t="s">
        <v>352</v>
      </c>
      <c r="C60" s="132" t="s">
        <v>338</v>
      </c>
      <c r="D60" s="132">
        <v>20.553436279296875</v>
      </c>
      <c r="E60" s="122">
        <f t="shared" si="0"/>
        <v>6.4982911552497711E-7</v>
      </c>
      <c r="F60">
        <f t="shared" si="57"/>
        <v>5.7578685041923955E-3</v>
      </c>
      <c r="G60" s="789"/>
      <c r="H60" s="479">
        <v>19</v>
      </c>
      <c r="I60" s="132" t="s">
        <v>338</v>
      </c>
      <c r="J60" s="132">
        <v>29.184324264526367</v>
      </c>
      <c r="K60" s="122">
        <f t="shared" si="1"/>
        <v>1.6392416993199231E-9</v>
      </c>
      <c r="L60">
        <f t="shared" si="59"/>
        <v>2.4256255153143677E-4</v>
      </c>
      <c r="M60" s="789"/>
      <c r="N60" s="490">
        <v>4</v>
      </c>
      <c r="O60" s="79" t="s">
        <v>338</v>
      </c>
      <c r="P60" s="79">
        <v>26.885921478271484</v>
      </c>
      <c r="Q60" s="79">
        <f t="shared" si="2"/>
        <v>8.0636408067761411E-9</v>
      </c>
      <c r="R60" s="79">
        <f t="shared" si="60"/>
        <v>1.0266897222100701E-2</v>
      </c>
      <c r="S60" s="789"/>
      <c r="T60" s="496" t="s">
        <v>360</v>
      </c>
      <c r="U60" s="274" t="s">
        <v>360</v>
      </c>
      <c r="V60" s="274" t="s">
        <v>360</v>
      </c>
      <c r="W60" s="274"/>
      <c r="X60" s="274"/>
      <c r="Y60" s="484"/>
      <c r="Z60" s="261" t="s">
        <v>389</v>
      </c>
      <c r="AA60" s="132" t="s">
        <v>338</v>
      </c>
      <c r="AB60" s="132">
        <v>35.915473937988281</v>
      </c>
      <c r="AC60" s="132">
        <f t="shared" si="4"/>
        <v>1.5429968383386972E-11</v>
      </c>
      <c r="AD60" s="520">
        <f>AC60/$AC$12</f>
        <v>1.8048051530759558E-3</v>
      </c>
      <c r="AE60" s="672"/>
      <c r="AF60" s="261" t="s">
        <v>395</v>
      </c>
      <c r="AG60" s="132" t="s">
        <v>338</v>
      </c>
      <c r="AH60" s="132">
        <v>32.859542846679688</v>
      </c>
      <c r="AI60" s="132">
        <f t="shared" si="5"/>
        <v>1.283192933623892E-10</v>
      </c>
      <c r="AJ60" s="520">
        <f t="shared" si="61"/>
        <v>3.6840692604237549E-3</v>
      </c>
      <c r="AK60" s="672"/>
      <c r="AL60" s="261" t="s">
        <v>402</v>
      </c>
      <c r="AM60" s="132" t="s">
        <v>338</v>
      </c>
      <c r="AN60" s="132">
        <v>32.75372314453125</v>
      </c>
      <c r="AO60" s="132">
        <f t="shared" si="6"/>
        <v>1.3808511431839975E-10</v>
      </c>
      <c r="AP60" s="520">
        <f t="shared" si="62"/>
        <v>6.3837765262129531E-4</v>
      </c>
      <c r="AQ60" s="672"/>
      <c r="AR60" s="523" t="s">
        <v>360</v>
      </c>
      <c r="AS60" s="272" t="s">
        <v>360</v>
      </c>
      <c r="AT60" s="527" t="s">
        <v>360</v>
      </c>
      <c r="AU60" s="272"/>
      <c r="AV60" s="274"/>
      <c r="AW60" s="872"/>
      <c r="AX60" s="261" t="s">
        <v>352</v>
      </c>
      <c r="AY60" s="132" t="s">
        <v>424</v>
      </c>
      <c r="AZ60" s="132">
        <v>17.705451965332031</v>
      </c>
      <c r="BA60" s="132">
        <f t="shared" si="8"/>
        <v>4.6787287932315826E-6</v>
      </c>
      <c r="BB60" s="520">
        <f t="shared" si="64"/>
        <v>9.2877686167842928</v>
      </c>
      <c r="BC60" s="672"/>
      <c r="BD60" s="261" t="s">
        <v>431</v>
      </c>
      <c r="BE60" s="132" t="s">
        <v>424</v>
      </c>
      <c r="BF60" s="132">
        <v>19.955564498901367</v>
      </c>
      <c r="BG60" s="132">
        <f t="shared" si="9"/>
        <v>9.8350484888497197E-7</v>
      </c>
      <c r="BH60" s="520">
        <f t="shared" si="65"/>
        <v>5.0301875181132667</v>
      </c>
      <c r="BI60" s="672"/>
      <c r="BJ60" s="261" t="s">
        <v>442</v>
      </c>
      <c r="BK60" s="132" t="s">
        <v>424</v>
      </c>
      <c r="BL60" s="132" t="s">
        <v>333</v>
      </c>
      <c r="BM60" s="132" t="e">
        <f t="shared" si="10"/>
        <v>#VALUE!</v>
      </c>
      <c r="BN60" s="520" t="e">
        <f t="shared" si="66"/>
        <v>#VALUE!</v>
      </c>
      <c r="BO60" s="672"/>
      <c r="BP60" s="261" t="s">
        <v>387</v>
      </c>
      <c r="BQ60" s="132" t="s">
        <v>424</v>
      </c>
      <c r="BR60" s="132">
        <v>20.893501281738281</v>
      </c>
      <c r="BS60" s="132">
        <f t="shared" si="11"/>
        <v>5.1336871592145553E-7</v>
      </c>
      <c r="BT60" s="520">
        <f t="shared" si="67"/>
        <v>8.2219477822719824</v>
      </c>
      <c r="BU60" s="672"/>
      <c r="BV60" s="261" t="s">
        <v>393</v>
      </c>
      <c r="BW60" s="132" t="s">
        <v>424</v>
      </c>
      <c r="BX60" s="132">
        <v>21.130495071411133</v>
      </c>
      <c r="BY60" s="132">
        <f t="shared" si="12"/>
        <v>4.3559928705543928E-7</v>
      </c>
      <c r="BZ60" s="520">
        <f t="shared" si="68"/>
        <v>0.31572627123457114</v>
      </c>
      <c r="CA60" s="672"/>
      <c r="CB60" s="261" t="s">
        <v>400</v>
      </c>
      <c r="CC60" s="132" t="s">
        <v>424</v>
      </c>
      <c r="CD60" s="132">
        <v>21.037748336791992</v>
      </c>
      <c r="CE60" s="132">
        <f t="shared" si="13"/>
        <v>4.6452245155341509E-7</v>
      </c>
      <c r="CF60" s="520">
        <f t="shared" si="69"/>
        <v>0.34649976638495333</v>
      </c>
      <c r="CG60" s="672"/>
      <c r="CH60" s="261" t="s">
        <v>406</v>
      </c>
      <c r="CI60" s="132" t="s">
        <v>424</v>
      </c>
      <c r="CJ60" s="132">
        <v>17.289339065551758</v>
      </c>
      <c r="CK60" s="132">
        <f t="shared" si="14"/>
        <v>6.242956891313291E-6</v>
      </c>
      <c r="CL60" s="520">
        <f t="shared" si="70"/>
        <v>46.167836542395449</v>
      </c>
      <c r="CM60" s="672"/>
    </row>
    <row r="61" spans="2:91" x14ac:dyDescent="0.25">
      <c r="B61" s="479" t="s">
        <v>353</v>
      </c>
      <c r="C61" s="132" t="s">
        <v>338</v>
      </c>
      <c r="D61" s="132">
        <v>23.771289825439453</v>
      </c>
      <c r="E61" s="122">
        <f t="shared" si="0"/>
        <v>6.9843939411044804E-8</v>
      </c>
      <c r="F61">
        <f t="shared" si="57"/>
        <v>2.8875011819360231E-2</v>
      </c>
      <c r="G61" s="789">
        <f>AVERAGE(F61:F62)</f>
        <v>1.4437710320255754E-2</v>
      </c>
      <c r="H61" s="479">
        <v>20</v>
      </c>
      <c r="I61" s="132" t="s">
        <v>338</v>
      </c>
      <c r="J61" s="132">
        <v>29.158864974975586</v>
      </c>
      <c r="K61" s="122">
        <f t="shared" si="1"/>
        <v>1.6684262072216286E-9</v>
      </c>
      <c r="L61">
        <f t="shared" si="59"/>
        <v>2.2791018541745621E-4</v>
      </c>
      <c r="M61" s="789">
        <f>AVERAGE(L61:L62)</f>
        <v>1.5787342276076563E-4</v>
      </c>
      <c r="N61" s="490" t="s">
        <v>356</v>
      </c>
      <c r="O61" s="79" t="s">
        <v>338</v>
      </c>
      <c r="P61" s="79">
        <v>24.915193557739258</v>
      </c>
      <c r="Q61" s="79">
        <f t="shared" si="2"/>
        <v>3.1606717252806339E-8</v>
      </c>
      <c r="R61" s="79">
        <f t="shared" si="60"/>
        <v>3.676425293412823E-2</v>
      </c>
      <c r="S61" s="789">
        <f>AVERAGE(R61:R62)</f>
        <v>3.2525572321340498E-2</v>
      </c>
      <c r="T61" s="496" t="s">
        <v>360</v>
      </c>
      <c r="U61" s="274" t="s">
        <v>360</v>
      </c>
      <c r="V61" s="274" t="s">
        <v>360</v>
      </c>
      <c r="W61" s="274"/>
      <c r="X61" s="274"/>
      <c r="Y61" s="484"/>
      <c r="Z61" s="261" t="s">
        <v>390</v>
      </c>
      <c r="AA61" s="132" t="s">
        <v>338</v>
      </c>
      <c r="AB61" s="132">
        <v>31.444192886352539</v>
      </c>
      <c r="AC61" s="132">
        <f t="shared" si="4"/>
        <v>3.4225890121741043E-10</v>
      </c>
      <c r="AD61" s="520">
        <f>AC61/$AC$13</f>
        <v>8.7983790751820709E-3</v>
      </c>
      <c r="AE61" s="672">
        <f>AVERAGE(AD61:AD62)</f>
        <v>6.650006147637803E-3</v>
      </c>
      <c r="AF61" s="261" t="s">
        <v>396</v>
      </c>
      <c r="AG61" s="132" t="s">
        <v>338</v>
      </c>
      <c r="AH61" s="132">
        <v>33.394336700439453</v>
      </c>
      <c r="AI61" s="132">
        <f t="shared" si="5"/>
        <v>8.857332901277079E-11</v>
      </c>
      <c r="AJ61" s="520">
        <f t="shared" si="61"/>
        <v>3.7612922095980228E-3</v>
      </c>
      <c r="AK61" s="672">
        <f>AJ61</f>
        <v>3.7612922095980228E-3</v>
      </c>
      <c r="AL61" s="261" t="s">
        <v>403</v>
      </c>
      <c r="AM61" s="132" t="s">
        <v>338</v>
      </c>
      <c r="AN61" s="132">
        <v>32.518341064453125</v>
      </c>
      <c r="AO61" s="132">
        <f t="shared" si="6"/>
        <v>1.6255634670435965E-10</v>
      </c>
      <c r="AP61" s="520">
        <f t="shared" si="62"/>
        <v>7.1636015886650597E-3</v>
      </c>
      <c r="AQ61" s="672">
        <f>AVERAGE(AP61:AP62)</f>
        <v>5.8112082162701615E-3</v>
      </c>
      <c r="AR61" s="523" t="s">
        <v>360</v>
      </c>
      <c r="AS61" s="272" t="s">
        <v>360</v>
      </c>
      <c r="AT61" s="527" t="s">
        <v>360</v>
      </c>
      <c r="AU61" s="272"/>
      <c r="AV61" s="274"/>
      <c r="AW61" s="872"/>
      <c r="AX61" s="261" t="s">
        <v>353</v>
      </c>
      <c r="AY61" s="132" t="s">
        <v>424</v>
      </c>
      <c r="AZ61" s="132">
        <v>20.114315032958984</v>
      </c>
      <c r="BA61" s="132">
        <f t="shared" si="8"/>
        <v>8.810241899668773E-7</v>
      </c>
      <c r="BB61" s="520">
        <f t="shared" si="64"/>
        <v>8.8302024685494267</v>
      </c>
      <c r="BC61" s="672">
        <f>AVERAGE(BB61:BB62)</f>
        <v>7.2507620911835318</v>
      </c>
      <c r="BD61" s="261" t="s">
        <v>432</v>
      </c>
      <c r="BE61" s="132" t="s">
        <v>424</v>
      </c>
      <c r="BF61" s="132">
        <v>19.317392349243164</v>
      </c>
      <c r="BG61" s="132">
        <f t="shared" si="9"/>
        <v>1.5306837259911577E-6</v>
      </c>
      <c r="BH61" s="520">
        <f t="shared" si="65"/>
        <v>2.9554178544569898</v>
      </c>
      <c r="BI61" s="672">
        <f>AVERAGE(BH61:BH62)</f>
        <v>3.4429582761343589</v>
      </c>
      <c r="BJ61" s="261" t="s">
        <v>356</v>
      </c>
      <c r="BK61" s="132" t="s">
        <v>424</v>
      </c>
      <c r="BL61" s="132">
        <v>19.974845886230469</v>
      </c>
      <c r="BM61" s="132">
        <f t="shared" si="10"/>
        <v>9.7044791095296649E-7</v>
      </c>
      <c r="BN61" s="520">
        <f t="shared" si="66"/>
        <v>2.5563036547215723</v>
      </c>
      <c r="BO61" s="672">
        <f>AVERAGE(BN61:BN62)</f>
        <v>2.4739537530821347</v>
      </c>
      <c r="BP61" s="261" t="s">
        <v>388</v>
      </c>
      <c r="BQ61" s="132" t="s">
        <v>424</v>
      </c>
      <c r="BR61" s="132">
        <v>22.20857048034668</v>
      </c>
      <c r="BS61" s="132">
        <f t="shared" si="11"/>
        <v>2.0632607882436146E-7</v>
      </c>
      <c r="BT61" s="520">
        <f t="shared" si="67"/>
        <v>24.536499367742131</v>
      </c>
      <c r="BU61" s="672">
        <f>AVERAGE(BT61:BT62)</f>
        <v>25.158561482065465</v>
      </c>
      <c r="BV61" s="261" t="s">
        <v>394</v>
      </c>
      <c r="BW61" s="132" t="s">
        <v>424</v>
      </c>
      <c r="BX61" s="132">
        <v>22.737148284912109</v>
      </c>
      <c r="BY61" s="132">
        <f t="shared" si="12"/>
        <v>1.4303303381567036E-7</v>
      </c>
      <c r="BZ61" s="520">
        <f t="shared" si="68"/>
        <v>0.44991695374204238</v>
      </c>
      <c r="CA61" s="672">
        <f>AVERAGE(BZ61:BZ62)</f>
        <v>0.54515359991024659</v>
      </c>
      <c r="CB61" s="261" t="s">
        <v>401</v>
      </c>
      <c r="CC61" s="132" t="s">
        <v>424</v>
      </c>
      <c r="CD61" s="132">
        <v>21.308567047119141</v>
      </c>
      <c r="CE61" s="132">
        <f t="shared" si="13"/>
        <v>3.8501899335603097E-7</v>
      </c>
      <c r="CF61" s="520">
        <f t="shared" si="69"/>
        <v>0.44600642971351334</v>
      </c>
      <c r="CG61" s="672">
        <f>AVERAGE(CF61:CF62)</f>
        <v>0.46404724788741891</v>
      </c>
      <c r="CH61" s="261" t="s">
        <v>407</v>
      </c>
      <c r="CI61" s="132" t="s">
        <v>424</v>
      </c>
      <c r="CJ61" s="132">
        <v>16.977134704589844</v>
      </c>
      <c r="CK61" s="132">
        <f t="shared" si="14"/>
        <v>7.7512762210462792E-6</v>
      </c>
      <c r="CL61" s="520">
        <f t="shared" si="70"/>
        <v>73.450088388215846</v>
      </c>
      <c r="CM61" s="672">
        <f>AVERAGE(CL61:CL62)</f>
        <v>70.108554690778988</v>
      </c>
    </row>
    <row r="62" spans="2:91" ht="15.75" thickBot="1" x14ac:dyDescent="0.3">
      <c r="B62" s="480" t="s">
        <v>353</v>
      </c>
      <c r="C62" s="203" t="s">
        <v>338</v>
      </c>
      <c r="D62" s="203">
        <v>36.808826446533203</v>
      </c>
      <c r="E62" s="123">
        <f t="shared" si="0"/>
        <v>8.3069029078261922E-12</v>
      </c>
      <c r="F62" s="6">
        <f t="shared" si="57"/>
        <v>4.0882115127641281E-7</v>
      </c>
      <c r="G62" s="789"/>
      <c r="H62" s="480">
        <v>20</v>
      </c>
      <c r="I62" s="203" t="s">
        <v>338</v>
      </c>
      <c r="J62" s="203">
        <v>30.342836380004883</v>
      </c>
      <c r="K62" s="123">
        <f t="shared" si="1"/>
        <v>7.3433815850826397E-10</v>
      </c>
      <c r="L62" s="6">
        <f t="shared" si="59"/>
        <v>8.783666010407507E-5</v>
      </c>
      <c r="M62" s="790"/>
      <c r="N62" s="491" t="s">
        <v>356</v>
      </c>
      <c r="O62" s="82" t="s">
        <v>338</v>
      </c>
      <c r="P62" s="82">
        <v>24.964662551879883</v>
      </c>
      <c r="Q62" s="82">
        <f t="shared" si="2"/>
        <v>3.0541315559904693E-8</v>
      </c>
      <c r="R62" s="82">
        <f t="shared" si="60"/>
        <v>2.828689170855276E-2</v>
      </c>
      <c r="S62" s="790"/>
      <c r="T62" s="497" t="s">
        <v>360</v>
      </c>
      <c r="U62" s="493" t="s">
        <v>360</v>
      </c>
      <c r="V62" s="493" t="s">
        <v>360</v>
      </c>
      <c r="W62" s="493"/>
      <c r="X62" s="493"/>
      <c r="Y62" s="485"/>
      <c r="Z62" s="262" t="s">
        <v>390</v>
      </c>
      <c r="AA62" s="203" t="s">
        <v>338</v>
      </c>
      <c r="AB62" s="203">
        <v>32.720661163330078</v>
      </c>
      <c r="AC62" s="203">
        <f t="shared" si="4"/>
        <v>1.4128612428920162E-10</v>
      </c>
      <c r="AD62" s="521">
        <f>AC62/$AC$14</f>
        <v>4.501633220093536E-3</v>
      </c>
      <c r="AE62" s="672"/>
      <c r="AF62" s="262" t="s">
        <v>396</v>
      </c>
      <c r="AG62" s="203" t="s">
        <v>338</v>
      </c>
      <c r="AH62" s="203" t="s">
        <v>333</v>
      </c>
      <c r="AI62" s="203" t="e">
        <f t="shared" si="5"/>
        <v>#VALUE!</v>
      </c>
      <c r="AJ62" s="521" t="e">
        <f t="shared" si="61"/>
        <v>#VALUE!</v>
      </c>
      <c r="AK62" s="672"/>
      <c r="AL62" s="262" t="s">
        <v>403</v>
      </c>
      <c r="AM62" s="203" t="s">
        <v>338</v>
      </c>
      <c r="AN62" s="203">
        <v>33.014778137207031</v>
      </c>
      <c r="AO62" s="203">
        <f t="shared" si="6"/>
        <v>1.1522891710644053E-10</v>
      </c>
      <c r="AP62" s="521">
        <f t="shared" si="62"/>
        <v>4.4588148438752633E-3</v>
      </c>
      <c r="AQ62" s="672"/>
      <c r="AR62" s="524" t="s">
        <v>360</v>
      </c>
      <c r="AS62" s="278" t="s">
        <v>360</v>
      </c>
      <c r="AT62" s="528" t="s">
        <v>360</v>
      </c>
      <c r="AU62" s="278"/>
      <c r="AV62" s="493"/>
      <c r="AW62" s="873"/>
      <c r="AX62" s="262" t="s">
        <v>353</v>
      </c>
      <c r="AY62" s="203" t="s">
        <v>424</v>
      </c>
      <c r="AZ62" s="203">
        <v>20.495344161987305</v>
      </c>
      <c r="BA62" s="203">
        <f t="shared" si="8"/>
        <v>6.7652933966210715E-7</v>
      </c>
      <c r="BB62" s="521">
        <f t="shared" si="64"/>
        <v>5.6713217138176377</v>
      </c>
      <c r="BC62" s="672"/>
      <c r="BD62" s="262" t="s">
        <v>432</v>
      </c>
      <c r="BE62" s="203" t="s">
        <v>424</v>
      </c>
      <c r="BF62" s="203">
        <v>20.874717712402344</v>
      </c>
      <c r="BG62" s="203">
        <f t="shared" si="9"/>
        <v>5.2009636390568727E-7</v>
      </c>
      <c r="BH62" s="521">
        <f t="shared" si="65"/>
        <v>3.9304986978117276</v>
      </c>
      <c r="BI62" s="672"/>
      <c r="BJ62" s="262" t="s">
        <v>356</v>
      </c>
      <c r="BK62" s="203" t="s">
        <v>424</v>
      </c>
      <c r="BL62" s="203">
        <v>20.020036697387695</v>
      </c>
      <c r="BM62" s="203">
        <f t="shared" si="10"/>
        <v>9.4052087623218513E-7</v>
      </c>
      <c r="BN62" s="521">
        <f t="shared" si="66"/>
        <v>2.3916038514426972</v>
      </c>
      <c r="BO62" s="672"/>
      <c r="BP62" s="262" t="s">
        <v>388</v>
      </c>
      <c r="BQ62" s="203" t="s">
        <v>424</v>
      </c>
      <c r="BR62" s="203">
        <v>22.644401550292969</v>
      </c>
      <c r="BS62" s="203">
        <f t="shared" si="11"/>
        <v>1.5253022099809255E-7</v>
      </c>
      <c r="BT62" s="521">
        <f t="shared" si="67"/>
        <v>25.780623596388796</v>
      </c>
      <c r="BU62" s="672"/>
      <c r="BV62" s="262" t="s">
        <v>394</v>
      </c>
      <c r="BW62" s="203" t="s">
        <v>424</v>
      </c>
      <c r="BX62" s="203">
        <v>22.181711196899414</v>
      </c>
      <c r="BY62" s="203">
        <f t="shared" si="12"/>
        <v>2.1020332168605094E-7</v>
      </c>
      <c r="BZ62" s="521">
        <f t="shared" si="68"/>
        <v>0.64039024607845085</v>
      </c>
      <c r="CA62" s="672"/>
      <c r="CB62" s="262" t="s">
        <v>401</v>
      </c>
      <c r="CC62" s="203" t="s">
        <v>424</v>
      </c>
      <c r="CD62" s="203">
        <v>21.215496063232422</v>
      </c>
      <c r="CE62" s="203">
        <f t="shared" si="13"/>
        <v>4.1067598936202064E-7</v>
      </c>
      <c r="CF62" s="521">
        <f t="shared" si="69"/>
        <v>0.48208806606132454</v>
      </c>
      <c r="CG62" s="672"/>
      <c r="CH62" s="262" t="s">
        <v>407</v>
      </c>
      <c r="CI62" s="203" t="s">
        <v>424</v>
      </c>
      <c r="CJ62" s="203">
        <v>17.151706695556641</v>
      </c>
      <c r="CK62" s="203">
        <f t="shared" si="14"/>
        <v>6.8678659181197139E-6</v>
      </c>
      <c r="CL62" s="521">
        <f t="shared" si="70"/>
        <v>66.767020993342143</v>
      </c>
      <c r="CM62" s="672"/>
    </row>
    <row r="63" spans="2:91" x14ac:dyDescent="0.25">
      <c r="B63" s="478" t="s">
        <v>331</v>
      </c>
      <c r="C63" s="202" t="s">
        <v>339</v>
      </c>
      <c r="D63" s="202" t="s">
        <v>333</v>
      </c>
      <c r="E63" s="443" t="e">
        <f t="shared" si="0"/>
        <v>#VALUE!</v>
      </c>
      <c r="F63" s="8" t="e">
        <f t="shared" ref="F63:F74" si="71">E63/E3</f>
        <v>#VALUE!</v>
      </c>
      <c r="G63" s="487"/>
      <c r="H63" s="478" t="s">
        <v>331</v>
      </c>
      <c r="I63" s="202" t="s">
        <v>339</v>
      </c>
      <c r="J63" s="202" t="s">
        <v>333</v>
      </c>
      <c r="K63" s="443" t="e">
        <f t="shared" si="1"/>
        <v>#VALUE!</v>
      </c>
      <c r="L63" s="8" t="e">
        <f>K63/K3</f>
        <v>#VALUE!</v>
      </c>
      <c r="M63" s="487"/>
      <c r="N63" s="489" t="s">
        <v>331</v>
      </c>
      <c r="O63" s="251" t="s">
        <v>339</v>
      </c>
      <c r="P63" s="251" t="s">
        <v>333</v>
      </c>
      <c r="Q63" s="251" t="e">
        <f t="shared" si="2"/>
        <v>#VALUE!</v>
      </c>
      <c r="R63" s="251" t="e">
        <f>Q63/Q3</f>
        <v>#VALUE!</v>
      </c>
      <c r="S63" s="487"/>
      <c r="T63" s="375" t="s">
        <v>331</v>
      </c>
      <c r="U63" s="251" t="s">
        <v>339</v>
      </c>
      <c r="V63" s="251" t="s">
        <v>333</v>
      </c>
      <c r="W63" s="251" t="e">
        <f t="shared" si="3"/>
        <v>#VALUE!</v>
      </c>
      <c r="X63" s="251" t="e">
        <f t="shared" ref="X63:X68" si="72">W63/W3</f>
        <v>#VALUE!</v>
      </c>
      <c r="Y63" s="487"/>
      <c r="Z63" s="452" t="s">
        <v>331</v>
      </c>
      <c r="AA63" s="202" t="s">
        <v>339</v>
      </c>
      <c r="AB63" s="202" t="s">
        <v>333</v>
      </c>
      <c r="AC63" s="202" t="e">
        <f t="shared" si="4"/>
        <v>#VALUE!</v>
      </c>
      <c r="AD63" s="514" t="e">
        <f>AC63/$AC$3</f>
        <v>#VALUE!</v>
      </c>
      <c r="AE63" s="400"/>
      <c r="AF63" s="452" t="s">
        <v>331</v>
      </c>
      <c r="AG63" s="202" t="s">
        <v>339</v>
      </c>
      <c r="AH63" s="202" t="s">
        <v>333</v>
      </c>
      <c r="AI63" s="202" t="e">
        <f t="shared" si="5"/>
        <v>#VALUE!</v>
      </c>
      <c r="AJ63" s="514" t="e">
        <f>AI63/AI3</f>
        <v>#VALUE!</v>
      </c>
      <c r="AK63" s="400"/>
      <c r="AL63" s="452" t="s">
        <v>331</v>
      </c>
      <c r="AM63" s="202" t="s">
        <v>339</v>
      </c>
      <c r="AN63" s="202" t="s">
        <v>333</v>
      </c>
      <c r="AO63" s="202" t="e">
        <f t="shared" si="6"/>
        <v>#VALUE!</v>
      </c>
      <c r="AP63" s="514" t="e">
        <f>AO63/AO3</f>
        <v>#VALUE!</v>
      </c>
      <c r="AQ63" s="400"/>
      <c r="AR63" s="452" t="s">
        <v>331</v>
      </c>
      <c r="AS63" s="202" t="s">
        <v>339</v>
      </c>
      <c r="AT63" s="443" t="s">
        <v>333</v>
      </c>
      <c r="AU63" s="202" t="e">
        <f t="shared" si="7"/>
        <v>#VALUE!</v>
      </c>
      <c r="AV63" s="251" t="e">
        <f>AU63/AU3</f>
        <v>#VALUE!</v>
      </c>
      <c r="AW63" s="487"/>
      <c r="AX63" s="452" t="s">
        <v>331</v>
      </c>
      <c r="AY63" s="202" t="s">
        <v>425</v>
      </c>
      <c r="AZ63" s="202" t="s">
        <v>333</v>
      </c>
      <c r="BA63" s="202" t="e">
        <f t="shared" si="8"/>
        <v>#VALUE!</v>
      </c>
      <c r="BB63" s="514" t="e">
        <f>BA63/BA3</f>
        <v>#VALUE!</v>
      </c>
      <c r="BC63" s="400"/>
      <c r="BD63" s="452" t="s">
        <v>331</v>
      </c>
      <c r="BE63" s="202" t="s">
        <v>425</v>
      </c>
      <c r="BF63" s="202" t="s">
        <v>333</v>
      </c>
      <c r="BG63" s="202" t="e">
        <f t="shared" si="9"/>
        <v>#VALUE!</v>
      </c>
      <c r="BH63" s="514" t="e">
        <f>BG63/BG3</f>
        <v>#VALUE!</v>
      </c>
      <c r="BI63" s="400"/>
      <c r="BJ63" s="452" t="s">
        <v>331</v>
      </c>
      <c r="BK63" s="202" t="s">
        <v>425</v>
      </c>
      <c r="BL63" s="202">
        <v>32.072010040283203</v>
      </c>
      <c r="BM63" s="202">
        <f t="shared" si="10"/>
        <v>2.2149450512512982E-10</v>
      </c>
      <c r="BN63" s="514" t="e">
        <f>BM63/BM3</f>
        <v>#VALUE!</v>
      </c>
      <c r="BO63" s="400"/>
      <c r="BP63" s="452" t="s">
        <v>331</v>
      </c>
      <c r="BQ63" s="202" t="s">
        <v>425</v>
      </c>
      <c r="BR63" s="202">
        <v>35.516853332519531</v>
      </c>
      <c r="BS63" s="202">
        <f t="shared" si="11"/>
        <v>2.0340508008240115E-11</v>
      </c>
      <c r="BT63" s="514">
        <f>BS63/BS3</f>
        <v>5.2356782724746779E-3</v>
      </c>
      <c r="BU63" s="400"/>
      <c r="BV63" s="452" t="s">
        <v>331</v>
      </c>
      <c r="BW63" s="202" t="s">
        <v>425</v>
      </c>
      <c r="BX63" s="202">
        <v>29.628501892089844</v>
      </c>
      <c r="BY63" s="202">
        <f t="shared" si="12"/>
        <v>1.2048478413480427E-9</v>
      </c>
      <c r="BZ63" s="514" t="e">
        <f>BY63/BY3</f>
        <v>#VALUE!</v>
      </c>
      <c r="CA63" s="400"/>
      <c r="CB63" s="452" t="s">
        <v>331</v>
      </c>
      <c r="CC63" s="202" t="s">
        <v>425</v>
      </c>
      <c r="CD63" s="202">
        <v>35.935302734375</v>
      </c>
      <c r="CE63" s="202">
        <f t="shared" si="13"/>
        <v>1.5219345410930985E-11</v>
      </c>
      <c r="CF63" s="514" t="e">
        <f>CE63/CE3</f>
        <v>#VALUE!</v>
      </c>
      <c r="CG63" s="400"/>
      <c r="CH63" s="452" t="s">
        <v>331</v>
      </c>
      <c r="CI63" s="202" t="s">
        <v>425</v>
      </c>
      <c r="CJ63" s="202" t="s">
        <v>333</v>
      </c>
      <c r="CK63" s="202" t="e">
        <f t="shared" si="14"/>
        <v>#VALUE!</v>
      </c>
      <c r="CL63" s="514" t="e">
        <f>CK63/CK3</f>
        <v>#VALUE!</v>
      </c>
      <c r="CM63" s="400"/>
    </row>
    <row r="64" spans="2:91" x14ac:dyDescent="0.25">
      <c r="B64" s="486" t="s">
        <v>331</v>
      </c>
      <c r="C64" s="134" t="s">
        <v>339</v>
      </c>
      <c r="D64" s="134" t="s">
        <v>333</v>
      </c>
      <c r="E64" s="139" t="e">
        <f t="shared" si="0"/>
        <v>#VALUE!</v>
      </c>
      <c r="F64" s="162" t="e">
        <f t="shared" si="71"/>
        <v>#VALUE!</v>
      </c>
      <c r="G64" s="488"/>
      <c r="H64" s="486" t="s">
        <v>331</v>
      </c>
      <c r="I64" s="134" t="s">
        <v>339</v>
      </c>
      <c r="J64" s="134" t="s">
        <v>333</v>
      </c>
      <c r="K64" s="139" t="e">
        <f t="shared" si="1"/>
        <v>#VALUE!</v>
      </c>
      <c r="L64" s="162" t="e">
        <f t="shared" ref="L64:L74" si="73">K64/K4</f>
        <v>#VALUE!</v>
      </c>
      <c r="M64" s="488"/>
      <c r="N64" s="494" t="s">
        <v>331</v>
      </c>
      <c r="O64" s="138" t="s">
        <v>339</v>
      </c>
      <c r="P64" s="138" t="s">
        <v>333</v>
      </c>
      <c r="Q64" s="138" t="e">
        <f t="shared" si="2"/>
        <v>#VALUE!</v>
      </c>
      <c r="R64" s="138" t="e">
        <f t="shared" ref="R64:R74" si="74">Q64/Q4</f>
        <v>#VALUE!</v>
      </c>
      <c r="S64" s="488"/>
      <c r="T64" s="257" t="s">
        <v>331</v>
      </c>
      <c r="U64" s="138" t="s">
        <v>339</v>
      </c>
      <c r="V64" s="138" t="s">
        <v>333</v>
      </c>
      <c r="W64" s="138" t="e">
        <f t="shared" si="3"/>
        <v>#VALUE!</v>
      </c>
      <c r="X64" s="138" t="e">
        <f t="shared" si="72"/>
        <v>#VALUE!</v>
      </c>
      <c r="Y64" s="488"/>
      <c r="Z64" s="513" t="s">
        <v>331</v>
      </c>
      <c r="AA64" s="134" t="s">
        <v>339</v>
      </c>
      <c r="AB64" s="134">
        <v>27.903257369995117</v>
      </c>
      <c r="AC64" s="134">
        <f t="shared" si="4"/>
        <v>3.9836626602120462E-9</v>
      </c>
      <c r="AD64" s="519" t="e">
        <f>AC64/$AC$4</f>
        <v>#VALUE!</v>
      </c>
      <c r="AE64" s="385"/>
      <c r="AF64" s="513" t="s">
        <v>331</v>
      </c>
      <c r="AG64" s="134" t="s">
        <v>339</v>
      </c>
      <c r="AH64" s="134" t="s">
        <v>333</v>
      </c>
      <c r="AI64" s="134" t="e">
        <f t="shared" si="5"/>
        <v>#VALUE!</v>
      </c>
      <c r="AJ64" s="519" t="e">
        <f t="shared" ref="AJ64:AJ74" si="75">AI64/AI4</f>
        <v>#VALUE!</v>
      </c>
      <c r="AK64" s="385"/>
      <c r="AL64" s="513" t="s">
        <v>331</v>
      </c>
      <c r="AM64" s="134" t="s">
        <v>339</v>
      </c>
      <c r="AN64" s="134" t="s">
        <v>333</v>
      </c>
      <c r="AO64" s="134" t="e">
        <f t="shared" si="6"/>
        <v>#VALUE!</v>
      </c>
      <c r="AP64" s="519" t="e">
        <f t="shared" ref="AP64:AP74" si="76">AO64/AO4</f>
        <v>#VALUE!</v>
      </c>
      <c r="AQ64" s="385"/>
      <c r="AR64" s="513" t="s">
        <v>331</v>
      </c>
      <c r="AS64" s="134" t="s">
        <v>339</v>
      </c>
      <c r="AT64" s="139" t="s">
        <v>333</v>
      </c>
      <c r="AU64" s="134" t="e">
        <f t="shared" si="7"/>
        <v>#VALUE!</v>
      </c>
      <c r="AV64" s="138" t="e">
        <f t="shared" ref="AV64:AV70" si="77">AU64/AU4</f>
        <v>#VALUE!</v>
      </c>
      <c r="AW64" s="488"/>
      <c r="AX64" s="513" t="s">
        <v>331</v>
      </c>
      <c r="AY64" s="134" t="s">
        <v>425</v>
      </c>
      <c r="AZ64" s="134">
        <v>35.931209564208984</v>
      </c>
      <c r="BA64" s="134">
        <f t="shared" si="8"/>
        <v>1.5262586583671346E-11</v>
      </c>
      <c r="BB64" s="519" t="e">
        <f t="shared" ref="BB64:BB74" si="78">BA64/BA4</f>
        <v>#VALUE!</v>
      </c>
      <c r="BC64" s="385"/>
      <c r="BD64" s="513" t="s">
        <v>331</v>
      </c>
      <c r="BE64" s="134" t="s">
        <v>425</v>
      </c>
      <c r="BF64" s="134">
        <v>36.99029541015625</v>
      </c>
      <c r="BG64" s="134">
        <f t="shared" si="9"/>
        <v>7.3250658476226026E-12</v>
      </c>
      <c r="BH64" s="519" t="e">
        <f t="shared" ref="BH64:BH74" si="79">BG64/BG4</f>
        <v>#VALUE!</v>
      </c>
      <c r="BI64" s="385"/>
      <c r="BJ64" s="513" t="s">
        <v>331</v>
      </c>
      <c r="BK64" s="134" t="s">
        <v>425</v>
      </c>
      <c r="BL64" s="134">
        <v>35.937889099121094</v>
      </c>
      <c r="BM64" s="134">
        <f t="shared" si="10"/>
        <v>1.519208565405592E-11</v>
      </c>
      <c r="BN64" s="519" t="e">
        <f t="shared" ref="BN64:BN74" si="80">BM64/BM4</f>
        <v>#VALUE!</v>
      </c>
      <c r="BO64" s="385"/>
      <c r="BP64" s="513" t="s">
        <v>331</v>
      </c>
      <c r="BQ64" s="134" t="s">
        <v>425</v>
      </c>
      <c r="BR64" s="134" t="s">
        <v>333</v>
      </c>
      <c r="BS64" s="134" t="e">
        <f t="shared" si="11"/>
        <v>#VALUE!</v>
      </c>
      <c r="BT64" s="519" t="e">
        <f t="shared" ref="BT64:BT74" si="81">BS64/BS4</f>
        <v>#VALUE!</v>
      </c>
      <c r="BU64" s="385"/>
      <c r="BV64" s="513" t="s">
        <v>331</v>
      </c>
      <c r="BW64" s="134" t="s">
        <v>425</v>
      </c>
      <c r="BX64" s="134">
        <v>34.967170715332031</v>
      </c>
      <c r="BY64" s="134">
        <f t="shared" si="12"/>
        <v>2.9773696097826772E-11</v>
      </c>
      <c r="BZ64" s="519">
        <f t="shared" ref="BZ64:BZ74" si="82">BY64/BY4</f>
        <v>4.4149202882677603</v>
      </c>
      <c r="CA64" s="385"/>
      <c r="CB64" s="513" t="s">
        <v>331</v>
      </c>
      <c r="CC64" s="134" t="s">
        <v>425</v>
      </c>
      <c r="CD64" s="134">
        <v>35.865825653076172</v>
      </c>
      <c r="CE64" s="134">
        <f t="shared" si="13"/>
        <v>1.5970211185758968E-11</v>
      </c>
      <c r="CF64" s="519">
        <f t="shared" ref="CF64:CF74" si="83">CE64/CE4</f>
        <v>2.3364520958494763</v>
      </c>
      <c r="CG64" s="385"/>
      <c r="CH64" s="513" t="s">
        <v>331</v>
      </c>
      <c r="CI64" s="134" t="s">
        <v>425</v>
      </c>
      <c r="CJ64" s="134">
        <v>35.250534057617188</v>
      </c>
      <c r="CK64" s="134">
        <f t="shared" si="14"/>
        <v>2.4464248836160442E-11</v>
      </c>
      <c r="CL64" s="519" t="e">
        <f t="shared" ref="CL64:CL74" si="84">CK64/CK4</f>
        <v>#VALUE!</v>
      </c>
      <c r="CM64" s="385"/>
    </row>
    <row r="65" spans="2:91" x14ac:dyDescent="0.25">
      <c r="B65" s="479" t="s">
        <v>349</v>
      </c>
      <c r="C65" s="132" t="s">
        <v>339</v>
      </c>
      <c r="D65" s="132">
        <v>22.348785400390625</v>
      </c>
      <c r="E65" s="122">
        <f t="shared" si="0"/>
        <v>1.8721697675518273E-7</v>
      </c>
      <c r="F65">
        <f t="shared" si="71"/>
        <v>9.0620927420654118E-5</v>
      </c>
      <c r="G65" s="789">
        <f>AVERAGE(F65:F66)</f>
        <v>1.3802512645575245E-4</v>
      </c>
      <c r="H65" s="479">
        <v>30</v>
      </c>
      <c r="I65" s="132" t="s">
        <v>339</v>
      </c>
      <c r="J65" s="132">
        <v>21.668550491333008</v>
      </c>
      <c r="K65" s="122">
        <f t="shared" si="1"/>
        <v>2.9999660473978873E-7</v>
      </c>
      <c r="L65">
        <f t="shared" si="73"/>
        <v>0.15534041955514244</v>
      </c>
      <c r="M65" s="789">
        <f>AVERAGE(L65:L66)</f>
        <v>9.4970936748610471E-2</v>
      </c>
      <c r="N65" s="490">
        <v>15</v>
      </c>
      <c r="O65" s="79" t="s">
        <v>339</v>
      </c>
      <c r="P65" s="79">
        <v>20.457059860229492</v>
      </c>
      <c r="Q65" s="79">
        <f t="shared" si="2"/>
        <v>6.9472249098720594E-7</v>
      </c>
      <c r="R65" s="79" t="e">
        <f t="shared" si="74"/>
        <v>#VALUE!</v>
      </c>
      <c r="S65" s="789" t="e">
        <f>AVERAGE(R65:R66)</f>
        <v>#VALUE!</v>
      </c>
      <c r="T65" s="80" t="s">
        <v>358</v>
      </c>
      <c r="U65" s="79" t="s">
        <v>339</v>
      </c>
      <c r="V65" s="79" t="s">
        <v>333</v>
      </c>
      <c r="W65" s="79" t="e">
        <f t="shared" si="3"/>
        <v>#VALUE!</v>
      </c>
      <c r="X65" s="79" t="e">
        <f t="shared" si="72"/>
        <v>#VALUE!</v>
      </c>
      <c r="Y65" s="789" t="e">
        <f>AVERAGE(X65:X66)</f>
        <v>#VALUE!</v>
      </c>
      <c r="Z65" s="261" t="s">
        <v>386</v>
      </c>
      <c r="AA65" s="132" t="s">
        <v>339</v>
      </c>
      <c r="AB65" s="132">
        <v>20.306919097900391</v>
      </c>
      <c r="AC65" s="132">
        <f t="shared" si="4"/>
        <v>7.7091808160419839E-7</v>
      </c>
      <c r="AD65" s="520">
        <f>AC65/$AC$5</f>
        <v>69.578846593042542</v>
      </c>
      <c r="AE65" s="676">
        <f>AVERAGE(AD65:AD66)</f>
        <v>78.393297829967423</v>
      </c>
      <c r="AF65" s="261" t="s">
        <v>392</v>
      </c>
      <c r="AG65" s="132" t="s">
        <v>339</v>
      </c>
      <c r="AH65" s="132">
        <v>22.919998168945313</v>
      </c>
      <c r="AI65" s="132">
        <f t="shared" si="5"/>
        <v>1.2600652958385646E-7</v>
      </c>
      <c r="AJ65" s="520">
        <f t="shared" si="75"/>
        <v>2.1459406611525718</v>
      </c>
      <c r="AK65" s="676">
        <f>AVERAGE(AJ65:AJ66)</f>
        <v>2.5255584818226833</v>
      </c>
      <c r="AL65" s="261" t="s">
        <v>399</v>
      </c>
      <c r="AM65" s="132" t="s">
        <v>339</v>
      </c>
      <c r="AN65" s="132">
        <v>23.995582580566406</v>
      </c>
      <c r="AO65" s="132">
        <f t="shared" si="6"/>
        <v>5.9787429231195802E-8</v>
      </c>
      <c r="AP65" s="520">
        <f t="shared" si="76"/>
        <v>2.2887880856787541</v>
      </c>
      <c r="AQ65" s="676">
        <f>AVERAGE(AP65:AP66)</f>
        <v>2.3984958189448493</v>
      </c>
      <c r="AR65" s="261" t="s">
        <v>405</v>
      </c>
      <c r="AS65" s="132" t="s">
        <v>339</v>
      </c>
      <c r="AT65" s="122">
        <v>24.251607894897461</v>
      </c>
      <c r="AU65" s="132">
        <f t="shared" si="7"/>
        <v>5.0065502624741598E-8</v>
      </c>
      <c r="AV65" s="79">
        <f t="shared" si="77"/>
        <v>0.37744826367063533</v>
      </c>
      <c r="AW65" s="789">
        <f>AVERAGE(AV65:AV66)</f>
        <v>0.35999768621770922</v>
      </c>
      <c r="AX65" s="261" t="s">
        <v>349</v>
      </c>
      <c r="AY65" s="132" t="s">
        <v>425</v>
      </c>
      <c r="AZ65" s="132">
        <v>26.63922119140625</v>
      </c>
      <c r="BA65" s="132">
        <f t="shared" si="8"/>
        <v>9.5674314729568295E-9</v>
      </c>
      <c r="BB65" s="520">
        <f t="shared" si="78"/>
        <v>1.8885892303884801E-2</v>
      </c>
      <c r="BC65" s="676">
        <f>AVERAGE(BB65:BB66)</f>
        <v>1.6824442236609002E-2</v>
      </c>
      <c r="BD65" s="261" t="s">
        <v>429</v>
      </c>
      <c r="BE65" s="132" t="s">
        <v>425</v>
      </c>
      <c r="BF65" s="132">
        <v>25.861932754516602</v>
      </c>
      <c r="BG65" s="132">
        <f t="shared" si="9"/>
        <v>1.6397683327314297E-8</v>
      </c>
      <c r="BH65" s="520">
        <f t="shared" si="79"/>
        <v>4.3489715603915791E-2</v>
      </c>
      <c r="BI65" s="676">
        <f>AVERAGE(BH65:BH66)</f>
        <v>5.8884004342021519E-2</v>
      </c>
      <c r="BJ65" s="261" t="s">
        <v>439</v>
      </c>
      <c r="BK65" s="132" t="s">
        <v>425</v>
      </c>
      <c r="BL65" s="132">
        <v>27.154960632324219</v>
      </c>
      <c r="BM65" s="132">
        <f t="shared" si="10"/>
        <v>6.6917902312382713E-9</v>
      </c>
      <c r="BN65" s="520">
        <f t="shared" si="80"/>
        <v>1.879999672363834E-2</v>
      </c>
      <c r="BO65" s="676">
        <f>AVERAGE(BN65:BN66)</f>
        <v>1.9711649959944628E-2</v>
      </c>
      <c r="BP65" s="261" t="s">
        <v>358</v>
      </c>
      <c r="BQ65" s="132" t="s">
        <v>425</v>
      </c>
      <c r="BR65" s="132">
        <v>27.249496459960938</v>
      </c>
      <c r="BS65" s="132">
        <f t="shared" si="11"/>
        <v>6.2673536116868297E-9</v>
      </c>
      <c r="BT65" s="520">
        <f t="shared" si="81"/>
        <v>1.2495341171587048E-2</v>
      </c>
      <c r="BU65" s="676">
        <f>AVERAGE(BT65:BT66)</f>
        <v>1.1484435717304751E-2</v>
      </c>
      <c r="BV65" s="261" t="s">
        <v>389</v>
      </c>
      <c r="BW65" s="132" t="s">
        <v>425</v>
      </c>
      <c r="BX65" s="132">
        <v>29.811531066894531</v>
      </c>
      <c r="BY65" s="132">
        <f t="shared" si="12"/>
        <v>1.0612921018004118E-9</v>
      </c>
      <c r="BZ65" s="520">
        <f t="shared" si="82"/>
        <v>1.9142246614545636E-3</v>
      </c>
      <c r="CA65" s="676">
        <f>AVERAGE(BZ65:BZ66)</f>
        <v>2.2363242962772372E-3</v>
      </c>
      <c r="CB65" s="261" t="s">
        <v>395</v>
      </c>
      <c r="CC65" s="132" t="s">
        <v>425</v>
      </c>
      <c r="CD65" s="132">
        <v>28.480754852294922</v>
      </c>
      <c r="CE65" s="132">
        <f t="shared" si="13"/>
        <v>2.6695526481341524E-9</v>
      </c>
      <c r="CF65" s="520">
        <f t="shared" si="83"/>
        <v>1.7463704787370098E-3</v>
      </c>
      <c r="CG65" s="676">
        <f>AVERAGE(CF65:CF66)</f>
        <v>1.7829934258935718E-3</v>
      </c>
      <c r="CH65" s="261" t="s">
        <v>402</v>
      </c>
      <c r="CI65" s="132" t="s">
        <v>425</v>
      </c>
      <c r="CJ65" s="132">
        <v>29.449665069580078</v>
      </c>
      <c r="CK65" s="132">
        <f t="shared" si="14"/>
        <v>1.3638526497349625E-9</v>
      </c>
      <c r="CL65" s="520">
        <f t="shared" si="84"/>
        <v>1.2263662216979892E-2</v>
      </c>
      <c r="CM65" s="676">
        <f>AVERAGE(CL65:CL66)</f>
        <v>1.0259333995487141E-2</v>
      </c>
    </row>
    <row r="66" spans="2:91" x14ac:dyDescent="0.25">
      <c r="B66" s="479" t="s">
        <v>349</v>
      </c>
      <c r="C66" s="132" t="s">
        <v>339</v>
      </c>
      <c r="D66" s="132">
        <v>22.171253204345703</v>
      </c>
      <c r="E66" s="122">
        <f t="shared" si="0"/>
        <v>2.1173260658293306E-7</v>
      </c>
      <c r="F66">
        <f t="shared" si="71"/>
        <v>1.8542932549085077E-4</v>
      </c>
      <c r="G66" s="789"/>
      <c r="H66" s="479">
        <v>30</v>
      </c>
      <c r="I66" s="132" t="s">
        <v>339</v>
      </c>
      <c r="J66" s="132">
        <v>21.738117218017578</v>
      </c>
      <c r="K66" s="122">
        <f t="shared" si="1"/>
        <v>2.8587400637254746E-7</v>
      </c>
      <c r="L66">
        <f t="shared" si="73"/>
        <v>3.4601453942078496E-2</v>
      </c>
      <c r="M66" s="789"/>
      <c r="N66" s="490">
        <v>15</v>
      </c>
      <c r="O66" s="79" t="s">
        <v>339</v>
      </c>
      <c r="P66" s="79">
        <v>20.531730651855469</v>
      </c>
      <c r="Q66" s="79">
        <f t="shared" si="2"/>
        <v>6.5967983813961256E-7</v>
      </c>
      <c r="R66" s="79">
        <f t="shared" si="74"/>
        <v>0.83613507993504876</v>
      </c>
      <c r="S66" s="789"/>
      <c r="T66" s="80" t="s">
        <v>358</v>
      </c>
      <c r="U66" s="79" t="s">
        <v>339</v>
      </c>
      <c r="V66" s="79" t="s">
        <v>333</v>
      </c>
      <c r="W66" s="79" t="e">
        <f t="shared" si="3"/>
        <v>#VALUE!</v>
      </c>
      <c r="X66" s="79" t="e">
        <f t="shared" si="72"/>
        <v>#VALUE!</v>
      </c>
      <c r="Y66" s="789"/>
      <c r="Z66" s="261" t="s">
        <v>386</v>
      </c>
      <c r="AA66" s="132" t="s">
        <v>339</v>
      </c>
      <c r="AB66" s="132">
        <v>20.212831497192383</v>
      </c>
      <c r="AC66" s="132">
        <f t="shared" si="4"/>
        <v>8.2287036537221704E-7</v>
      </c>
      <c r="AD66" s="520">
        <f>AC66/$AC$6</f>
        <v>87.207749066892305</v>
      </c>
      <c r="AE66" s="672"/>
      <c r="AF66" s="261" t="s">
        <v>392</v>
      </c>
      <c r="AG66" s="132" t="s">
        <v>339</v>
      </c>
      <c r="AH66" s="132">
        <v>23.00860595703125</v>
      </c>
      <c r="AI66" s="132">
        <f t="shared" si="5"/>
        <v>1.1850029964424881E-7</v>
      </c>
      <c r="AJ66" s="520">
        <f t="shared" si="75"/>
        <v>2.9051763024927952</v>
      </c>
      <c r="AK66" s="672"/>
      <c r="AL66" s="261" t="s">
        <v>399</v>
      </c>
      <c r="AM66" s="132" t="s">
        <v>339</v>
      </c>
      <c r="AN66" s="132">
        <v>24.1251220703125</v>
      </c>
      <c r="AO66" s="132">
        <f t="shared" si="6"/>
        <v>5.4653075713253232E-8</v>
      </c>
      <c r="AP66" s="520">
        <f t="shared" si="76"/>
        <v>2.508203552210944</v>
      </c>
      <c r="AQ66" s="672"/>
      <c r="AR66" s="261" t="s">
        <v>405</v>
      </c>
      <c r="AS66" s="132" t="s">
        <v>339</v>
      </c>
      <c r="AT66" s="122">
        <v>24.916296005249023</v>
      </c>
      <c r="AU66" s="132">
        <f t="shared" si="7"/>
        <v>3.1582573940687169E-8</v>
      </c>
      <c r="AV66" s="79">
        <f t="shared" si="77"/>
        <v>0.34254710876478311</v>
      </c>
      <c r="AW66" s="789"/>
      <c r="AX66" s="261" t="s">
        <v>349</v>
      </c>
      <c r="AY66" s="132" t="s">
        <v>425</v>
      </c>
      <c r="AZ66" s="132">
        <v>27.035768508911133</v>
      </c>
      <c r="BA66" s="132">
        <f t="shared" si="8"/>
        <v>7.2681306085099237E-9</v>
      </c>
      <c r="BB66" s="520">
        <f t="shared" si="78"/>
        <v>1.4762992169333203E-2</v>
      </c>
      <c r="BC66" s="672"/>
      <c r="BD66" s="261" t="s">
        <v>429</v>
      </c>
      <c r="BE66" s="132" t="s">
        <v>425</v>
      </c>
      <c r="BF66" s="132">
        <v>26.464126586914063</v>
      </c>
      <c r="BG66" s="132">
        <f t="shared" si="9"/>
        <v>1.0801997894417567E-8</v>
      </c>
      <c r="BH66" s="520">
        <f t="shared" si="79"/>
        <v>7.4278293080127247E-2</v>
      </c>
      <c r="BI66" s="672"/>
      <c r="BJ66" s="261" t="s">
        <v>439</v>
      </c>
      <c r="BK66" s="132" t="s">
        <v>425</v>
      </c>
      <c r="BL66" s="132">
        <v>27.477334976196289</v>
      </c>
      <c r="BM66" s="132">
        <f t="shared" si="10"/>
        <v>5.3517765376257673E-9</v>
      </c>
      <c r="BN66" s="520">
        <f t="shared" si="80"/>
        <v>2.0623303196250914E-2</v>
      </c>
      <c r="BO66" s="672"/>
      <c r="BP66" s="261" t="s">
        <v>358</v>
      </c>
      <c r="BQ66" s="132" t="s">
        <v>425</v>
      </c>
      <c r="BR66" s="132">
        <v>27.892850875854492</v>
      </c>
      <c r="BS66" s="132">
        <f t="shared" si="11"/>
        <v>4.0125016295276827E-9</v>
      </c>
      <c r="BT66" s="520">
        <f t="shared" si="81"/>
        <v>1.0473530263022456E-2</v>
      </c>
      <c r="BU66" s="672"/>
      <c r="BV66" s="261" t="s">
        <v>389</v>
      </c>
      <c r="BW66" s="132" t="s">
        <v>425</v>
      </c>
      <c r="BX66" s="132">
        <v>29.579957962036133</v>
      </c>
      <c r="BY66" s="132">
        <f t="shared" si="12"/>
        <v>1.2460784432953054E-9</v>
      </c>
      <c r="BZ66" s="520">
        <f t="shared" si="82"/>
        <v>2.5584239310999105E-3</v>
      </c>
      <c r="CA66" s="672"/>
      <c r="CB66" s="261" t="s">
        <v>395</v>
      </c>
      <c r="CC66" s="132" t="s">
        <v>425</v>
      </c>
      <c r="CD66" s="132">
        <v>28.514398574829102</v>
      </c>
      <c r="CE66" s="132">
        <f t="shared" si="13"/>
        <v>2.6080188177702945E-9</v>
      </c>
      <c r="CF66" s="520">
        <f t="shared" si="83"/>
        <v>1.8196163730501338E-3</v>
      </c>
      <c r="CG66" s="672"/>
      <c r="CH66" s="261" t="s">
        <v>402</v>
      </c>
      <c r="CI66" s="132" t="s">
        <v>425</v>
      </c>
      <c r="CJ66" s="132">
        <v>29.071035385131836</v>
      </c>
      <c r="CK66" s="132">
        <f t="shared" si="14"/>
        <v>1.773153542582612E-9</v>
      </c>
      <c r="CL66" s="520">
        <f t="shared" si="84"/>
        <v>8.2550057739943904E-3</v>
      </c>
      <c r="CM66" s="672"/>
    </row>
    <row r="67" spans="2:91" x14ac:dyDescent="0.25">
      <c r="B67" s="479" t="s">
        <v>350</v>
      </c>
      <c r="C67" s="132" t="s">
        <v>339</v>
      </c>
      <c r="D67" s="132">
        <v>20.746738433837891</v>
      </c>
      <c r="E67" s="122">
        <f t="shared" si="0"/>
        <v>5.6834156551232442E-7</v>
      </c>
      <c r="F67">
        <f t="shared" si="71"/>
        <v>4.8560412282390837E-4</v>
      </c>
      <c r="G67" s="789">
        <f>AVERAGE(F67:F68)</f>
        <v>1.4699371020461276E-3</v>
      </c>
      <c r="H67" s="479">
        <v>28</v>
      </c>
      <c r="I67" s="132" t="s">
        <v>339</v>
      </c>
      <c r="J67" s="132">
        <v>20.323705673217773</v>
      </c>
      <c r="K67" s="122">
        <f t="shared" si="1"/>
        <v>7.6199999644809044E-7</v>
      </c>
      <c r="L67">
        <f t="shared" si="73"/>
        <v>5.417867864558655E-2</v>
      </c>
      <c r="M67" s="789">
        <f>AVERAGE(L67:L68)</f>
        <v>5.2753595105906645E-2</v>
      </c>
      <c r="N67" s="490">
        <v>5</v>
      </c>
      <c r="O67" s="79" t="s">
        <v>339</v>
      </c>
      <c r="P67" s="79">
        <v>24.193078994750977</v>
      </c>
      <c r="Q67" s="79">
        <f t="shared" si="2"/>
        <v>5.2138380252542518E-8</v>
      </c>
      <c r="R67" s="79">
        <f t="shared" si="74"/>
        <v>6.4139179165274646E-2</v>
      </c>
      <c r="S67" s="789">
        <f>AVERAGE(R67:R68)</f>
        <v>6.6787295113199932E-2</v>
      </c>
      <c r="T67" s="80" t="s">
        <v>359</v>
      </c>
      <c r="U67" s="79" t="s">
        <v>339</v>
      </c>
      <c r="V67" s="79" t="s">
        <v>333</v>
      </c>
      <c r="W67" s="79" t="e">
        <f t="shared" si="3"/>
        <v>#VALUE!</v>
      </c>
      <c r="X67" s="79" t="e">
        <f t="shared" si="72"/>
        <v>#VALUE!</v>
      </c>
      <c r="Y67" s="789" t="e">
        <f>AVERAGE(X67:X68)</f>
        <v>#VALUE!</v>
      </c>
      <c r="Z67" s="261" t="s">
        <v>387</v>
      </c>
      <c r="AA67" s="132" t="s">
        <v>339</v>
      </c>
      <c r="AB67" s="132">
        <v>20.804059982299805</v>
      </c>
      <c r="AC67" s="132">
        <f t="shared" si="4"/>
        <v>5.4620278943725695E-7</v>
      </c>
      <c r="AD67" s="520">
        <f>AC67/$AC$7</f>
        <v>5.1124180541769411</v>
      </c>
      <c r="AE67" s="672">
        <f>AVERAGE(AD67:AD68)</f>
        <v>4.6374356711018088</v>
      </c>
      <c r="AF67" s="261" t="s">
        <v>393</v>
      </c>
      <c r="AG67" s="132" t="s">
        <v>339</v>
      </c>
      <c r="AH67" s="132">
        <v>22.313100814819336</v>
      </c>
      <c r="AI67" s="132">
        <f t="shared" si="5"/>
        <v>1.9190547202801282E-7</v>
      </c>
      <c r="AJ67" s="520">
        <f t="shared" si="75"/>
        <v>2.8003759051971677</v>
      </c>
      <c r="AK67" s="672">
        <f>AVERAGE(AJ67:AJ68)</f>
        <v>3.5425625197158079</v>
      </c>
      <c r="AL67" s="261" t="s">
        <v>400</v>
      </c>
      <c r="AM67" s="132" t="s">
        <v>339</v>
      </c>
      <c r="AN67" s="132">
        <v>24.111362457275391</v>
      </c>
      <c r="AO67" s="132">
        <f t="shared" si="6"/>
        <v>5.517681959580235E-8</v>
      </c>
      <c r="AP67" s="520">
        <f t="shared" si="76"/>
        <v>0.61123163008926529</v>
      </c>
      <c r="AQ67" s="672">
        <f>AVERAGE(AP67:AP68)</f>
        <v>0.68735334196663145</v>
      </c>
      <c r="AR67" s="261" t="s">
        <v>406</v>
      </c>
      <c r="AS67" s="132" t="s">
        <v>339</v>
      </c>
      <c r="AT67" s="122">
        <v>23.449851989746094</v>
      </c>
      <c r="AU67" s="132">
        <f t="shared" si="7"/>
        <v>8.7275261189573715E-8</v>
      </c>
      <c r="AV67" s="79">
        <f t="shared" si="77"/>
        <v>1.7164121957573919</v>
      </c>
      <c r="AW67" s="789">
        <f>AVERAGE(AV67:AV68)</f>
        <v>1.152077973577744</v>
      </c>
      <c r="AX67" s="261" t="s">
        <v>350</v>
      </c>
      <c r="AY67" s="132" t="s">
        <v>425</v>
      </c>
      <c r="AZ67" s="132">
        <v>26.356815338134766</v>
      </c>
      <c r="BA67" s="132">
        <f t="shared" si="8"/>
        <v>1.1636114686682625E-8</v>
      </c>
      <c r="BB67" s="520">
        <f t="shared" si="78"/>
        <v>4.4452769947839046E-2</v>
      </c>
      <c r="BC67" s="672">
        <f>AVERAGE(BB67:BB68)</f>
        <v>4.1513122044552986E-2</v>
      </c>
      <c r="BD67" s="261" t="s">
        <v>430</v>
      </c>
      <c r="BE67" s="132" t="s">
        <v>425</v>
      </c>
      <c r="BF67" s="132">
        <v>25.570938110351563</v>
      </c>
      <c r="BG67" s="132">
        <f t="shared" si="9"/>
        <v>2.0062294974197387E-8</v>
      </c>
      <c r="BH67" s="520">
        <f t="shared" si="79"/>
        <v>3.4989478119760345E-2</v>
      </c>
      <c r="BI67" s="672">
        <f>AVERAGE(BH67:BH68)</f>
        <v>6.1357589267143055E-2</v>
      </c>
      <c r="BJ67" s="261" t="s">
        <v>440</v>
      </c>
      <c r="BK67" s="132" t="s">
        <v>425</v>
      </c>
      <c r="BL67" s="132">
        <v>27.01606559753418</v>
      </c>
      <c r="BM67" s="132">
        <f t="shared" si="10"/>
        <v>7.36807249587737E-9</v>
      </c>
      <c r="BN67" s="520">
        <f t="shared" si="80"/>
        <v>2.6901183905243094E-2</v>
      </c>
      <c r="BO67" s="672">
        <f>AVERAGE(BN67:BN68)</f>
        <v>2.939128522540501E-2</v>
      </c>
      <c r="BP67" s="261" t="s">
        <v>359</v>
      </c>
      <c r="BQ67" s="132" t="s">
        <v>425</v>
      </c>
      <c r="BR67" s="132">
        <v>28.214767456054688</v>
      </c>
      <c r="BS67" s="132">
        <f t="shared" si="11"/>
        <v>3.2100269239419402E-9</v>
      </c>
      <c r="BT67" s="520">
        <f t="shared" si="81"/>
        <v>1.0429576161345462E-2</v>
      </c>
      <c r="BU67" s="672">
        <f>AVERAGE(BT67:BT68)</f>
        <v>1.2839885802653907E-2</v>
      </c>
      <c r="BV67" s="261" t="s">
        <v>390</v>
      </c>
      <c r="BW67" s="132" t="s">
        <v>425</v>
      </c>
      <c r="BX67" s="132">
        <v>29.289764404296875</v>
      </c>
      <c r="BY67" s="132">
        <f t="shared" si="12"/>
        <v>1.523710107268637E-9</v>
      </c>
      <c r="BZ67" s="520">
        <f t="shared" si="82"/>
        <v>1.0621704978599582E-3</v>
      </c>
      <c r="CA67" s="672">
        <f>AVERAGE(BZ67:BZ68)</f>
        <v>1.0801913489012281E-3</v>
      </c>
      <c r="CB67" s="261" t="s">
        <v>396</v>
      </c>
      <c r="CC67" s="132" t="s">
        <v>425</v>
      </c>
      <c r="CD67" s="132">
        <v>29.092958450317383</v>
      </c>
      <c r="CE67" s="132">
        <f t="shared" si="13"/>
        <v>1.7464125509114037E-9</v>
      </c>
      <c r="CF67" s="520">
        <f t="shared" si="83"/>
        <v>2.5705413199470189E-3</v>
      </c>
      <c r="CG67" s="672">
        <f>AVERAGE(CF67:CF68)</f>
        <v>2.5787423308621773E-3</v>
      </c>
      <c r="CH67" s="261" t="s">
        <v>403</v>
      </c>
      <c r="CI67" s="132" t="s">
        <v>425</v>
      </c>
      <c r="CJ67" s="132">
        <v>29.282602310180664</v>
      </c>
      <c r="CK67" s="132">
        <f t="shared" si="14"/>
        <v>1.5312931985126598E-9</v>
      </c>
      <c r="CL67" s="520">
        <f t="shared" si="84"/>
        <v>8.5037132261037096E-2</v>
      </c>
      <c r="CM67" s="672">
        <f>AVERAGE(CL67:CL68)</f>
        <v>0.10983192186633296</v>
      </c>
    </row>
    <row r="68" spans="2:91" x14ac:dyDescent="0.25">
      <c r="B68" s="479" t="s">
        <v>350</v>
      </c>
      <c r="C68" s="132" t="s">
        <v>339</v>
      </c>
      <c r="D68" s="132">
        <v>20.675376892089844</v>
      </c>
      <c r="E68" s="122">
        <f t="shared" ref="E68:E98" si="85">2^(-D68)</f>
        <v>5.9716092738703636E-7</v>
      </c>
      <c r="F68">
        <f t="shared" si="71"/>
        <v>2.4542700812683468E-3</v>
      </c>
      <c r="G68" s="789"/>
      <c r="H68" s="479">
        <v>28</v>
      </c>
      <c r="I68" s="132" t="s">
        <v>339</v>
      </c>
      <c r="J68" s="132">
        <v>20.354682922363281</v>
      </c>
      <c r="K68" s="122">
        <f t="shared" ref="K68:K98" si="86">2^(-J68)</f>
        <v>7.4581289527234703E-7</v>
      </c>
      <c r="L68">
        <f t="shared" si="73"/>
        <v>5.1328511566226746E-2</v>
      </c>
      <c r="M68" s="789"/>
      <c r="N68" s="490">
        <v>5</v>
      </c>
      <c r="O68" s="79" t="s">
        <v>339</v>
      </c>
      <c r="P68" s="79">
        <v>24.382728576660156</v>
      </c>
      <c r="Q68" s="79">
        <f t="shared" ref="Q68:Q98" si="87">2^(-P68)</f>
        <v>4.5715905077255112E-8</v>
      </c>
      <c r="R68" s="79">
        <f t="shared" si="74"/>
        <v>6.9435411061125218E-2</v>
      </c>
      <c r="S68" s="789"/>
      <c r="T68" s="257" t="s">
        <v>359</v>
      </c>
      <c r="U68" s="138" t="s">
        <v>339</v>
      </c>
      <c r="V68" s="138">
        <v>33.134532928466797</v>
      </c>
      <c r="W68" s="138">
        <f t="shared" ref="W68:W92" si="88">2^(-V68)</f>
        <v>1.0605024989443883E-10</v>
      </c>
      <c r="X68" s="138" t="e">
        <f t="shared" si="72"/>
        <v>#VALUE!</v>
      </c>
      <c r="Y68" s="794"/>
      <c r="Z68" s="261" t="s">
        <v>387</v>
      </c>
      <c r="AA68" s="132" t="s">
        <v>339</v>
      </c>
      <c r="AB68" s="132">
        <v>20.840896606445313</v>
      </c>
      <c r="AC68" s="132">
        <f t="shared" ref="AC68:AC98" si="89">2^(-AB68)</f>
        <v>5.3243302437285418E-7</v>
      </c>
      <c r="AD68" s="520">
        <f>AC68/$AC$8</f>
        <v>4.1624532880266765</v>
      </c>
      <c r="AE68" s="672"/>
      <c r="AF68" s="261" t="s">
        <v>393</v>
      </c>
      <c r="AG68" s="132" t="s">
        <v>339</v>
      </c>
      <c r="AH68" s="132">
        <v>22.037929534912109</v>
      </c>
      <c r="AI68" s="132">
        <f t="shared" ref="AI68:AI98" si="90">2^(-AH68)</f>
        <v>2.3223205630324839E-7</v>
      </c>
      <c r="AJ68" s="520">
        <f t="shared" si="75"/>
        <v>4.2847491342344481</v>
      </c>
      <c r="AK68" s="672"/>
      <c r="AL68" s="261" t="s">
        <v>400</v>
      </c>
      <c r="AM68" s="132" t="s">
        <v>339</v>
      </c>
      <c r="AN68" s="132">
        <v>23.915109634399414</v>
      </c>
      <c r="AO68" s="132">
        <f t="shared" ref="AO68:AO98" si="91">2^(-AN68)</f>
        <v>6.3217111815578453E-8</v>
      </c>
      <c r="AP68" s="520">
        <f t="shared" si="76"/>
        <v>0.76347505384399761</v>
      </c>
      <c r="AQ68" s="672"/>
      <c r="AR68" s="261" t="s">
        <v>406</v>
      </c>
      <c r="AS68" s="132" t="s">
        <v>339</v>
      </c>
      <c r="AT68" s="122">
        <v>23.668035507202148</v>
      </c>
      <c r="AU68" s="132">
        <f t="shared" ref="AU68:AU94" si="92">2^(-AT68)</f>
        <v>7.5025927645605256E-8</v>
      </c>
      <c r="AV68" s="79">
        <f t="shared" si="77"/>
        <v>0.58774375139809587</v>
      </c>
      <c r="AW68" s="789"/>
      <c r="AX68" s="261" t="s">
        <v>350</v>
      </c>
      <c r="AY68" s="132" t="s">
        <v>425</v>
      </c>
      <c r="AZ68" s="132">
        <v>26.721200942993164</v>
      </c>
      <c r="BA68" s="132">
        <f t="shared" ref="BA68:BA98" si="93">2^(-AZ68)</f>
        <v>9.0389294356829451E-9</v>
      </c>
      <c r="BB68" s="520">
        <f t="shared" si="78"/>
        <v>3.8573474141266925E-2</v>
      </c>
      <c r="BC68" s="672"/>
      <c r="BD68" s="261" t="s">
        <v>430</v>
      </c>
      <c r="BE68" s="132" t="s">
        <v>425</v>
      </c>
      <c r="BF68" s="132">
        <v>25.709102630615234</v>
      </c>
      <c r="BG68" s="132">
        <f t="shared" ref="BG68:BG98" si="94">2^(-BF68)</f>
        <v>1.8230095618763152E-8</v>
      </c>
      <c r="BH68" s="520">
        <f t="shared" si="79"/>
        <v>8.7725700414525765E-2</v>
      </c>
      <c r="BI68" s="672"/>
      <c r="BJ68" s="261" t="s">
        <v>440</v>
      </c>
      <c r="BK68" s="132" t="s">
        <v>425</v>
      </c>
      <c r="BL68" s="132">
        <v>27.220443725585938</v>
      </c>
      <c r="BM68" s="132">
        <f t="shared" ref="BM68:BM98" si="95">2^(-BL68)</f>
        <v>6.3948438355914867E-9</v>
      </c>
      <c r="BN68" s="520">
        <f t="shared" si="80"/>
        <v>3.1881386545566923E-2</v>
      </c>
      <c r="BO68" s="672"/>
      <c r="BP68" s="261" t="s">
        <v>359</v>
      </c>
      <c r="BQ68" s="132" t="s">
        <v>425</v>
      </c>
      <c r="BR68" s="132">
        <v>28.358894348144531</v>
      </c>
      <c r="BS68" s="132">
        <f t="shared" ref="BS68:BS98" si="96">2^(-BR68)</f>
        <v>2.9048396060987116E-9</v>
      </c>
      <c r="BT68" s="520">
        <f t="shared" si="81"/>
        <v>1.5250195443962354E-2</v>
      </c>
      <c r="BU68" s="672"/>
      <c r="BV68" s="261" t="s">
        <v>390</v>
      </c>
      <c r="BW68" s="132" t="s">
        <v>425</v>
      </c>
      <c r="BX68" s="132">
        <v>29.374748229980469</v>
      </c>
      <c r="BY68" s="132">
        <f t="shared" ref="BY68:BY98" si="97">2^(-BX68)</f>
        <v>1.4365464316481435E-9</v>
      </c>
      <c r="BZ68" s="520">
        <f t="shared" si="82"/>
        <v>1.0982121999424978E-3</v>
      </c>
      <c r="CA68" s="672"/>
      <c r="CB68" s="261" t="s">
        <v>396</v>
      </c>
      <c r="CC68" s="132" t="s">
        <v>425</v>
      </c>
      <c r="CD68" s="132">
        <v>28.962783813476563</v>
      </c>
      <c r="CE68" s="132">
        <f t="shared" ref="CE68:CE98" si="98">2^(-CD68)</f>
        <v>1.911319603653827E-9</v>
      </c>
      <c r="CF68" s="520">
        <f t="shared" si="83"/>
        <v>2.5869433417773351E-3</v>
      </c>
      <c r="CG68" s="672"/>
      <c r="CH68" s="261" t="s">
        <v>403</v>
      </c>
      <c r="CI68" s="132" t="s">
        <v>425</v>
      </c>
      <c r="CJ68" s="132">
        <v>29.087810516357422</v>
      </c>
      <c r="CK68" s="132">
        <f t="shared" ref="CK68:CK98" si="99">2^(-CJ68)</f>
        <v>1.7526553641619736E-9</v>
      </c>
      <c r="CL68" s="520">
        <f t="shared" si="84"/>
        <v>0.13462671147162883</v>
      </c>
      <c r="CM68" s="672"/>
    </row>
    <row r="69" spans="2:91" x14ac:dyDescent="0.25">
      <c r="B69" s="479" t="s">
        <v>351</v>
      </c>
      <c r="C69" s="132" t="s">
        <v>339</v>
      </c>
      <c r="D69" s="132">
        <v>21.548261642456055</v>
      </c>
      <c r="E69" s="122">
        <f t="shared" si="85"/>
        <v>3.2608204892216756E-7</v>
      </c>
      <c r="F69">
        <f t="shared" si="71"/>
        <v>2.9919743655163681E-3</v>
      </c>
      <c r="G69" s="789">
        <f>AVERAGE(F69:F70)</f>
        <v>2.7708634799865203E-3</v>
      </c>
      <c r="H69" s="479" t="s">
        <v>334</v>
      </c>
      <c r="I69" s="132" t="s">
        <v>339</v>
      </c>
      <c r="J69" s="132">
        <v>21.920394897460938</v>
      </c>
      <c r="K69" s="122">
        <f t="shared" si="86"/>
        <v>2.5194376730880309E-7</v>
      </c>
      <c r="L69">
        <f t="shared" si="73"/>
        <v>4.4742741599810641E-2</v>
      </c>
      <c r="M69" s="789">
        <f>AVERAGE(L69:L70)</f>
        <v>4.8328746799426926E-2</v>
      </c>
      <c r="N69" s="490">
        <v>18</v>
      </c>
      <c r="O69" s="79" t="s">
        <v>339</v>
      </c>
      <c r="P69" s="79">
        <v>21.657707214355469</v>
      </c>
      <c r="Q69" s="79">
        <f t="shared" si="87"/>
        <v>3.0225986996208015E-7</v>
      </c>
      <c r="R69" s="79">
        <f t="shared" si="74"/>
        <v>0.29878097392229119</v>
      </c>
      <c r="S69" s="789">
        <f>AVERAGE(R69:R70)</f>
        <v>0.27983224189481598</v>
      </c>
      <c r="T69" s="496" t="s">
        <v>360</v>
      </c>
      <c r="U69" s="274" t="s">
        <v>360</v>
      </c>
      <c r="V69" s="274" t="s">
        <v>360</v>
      </c>
      <c r="W69" s="274"/>
      <c r="X69" s="274"/>
      <c r="Y69" s="484"/>
      <c r="Z69" s="261" t="s">
        <v>388</v>
      </c>
      <c r="AA69" s="132" t="s">
        <v>339</v>
      </c>
      <c r="AB69" s="132">
        <v>19.696125030517578</v>
      </c>
      <c r="AC69" s="132">
        <f t="shared" si="89"/>
        <v>1.1772686183127943E-6</v>
      </c>
      <c r="AD69" s="520">
        <f>AC69/$AC$9</f>
        <v>55.153602781092893</v>
      </c>
      <c r="AE69" s="672">
        <f>AVERAGE(AD69:AD70)</f>
        <v>57.484101385954872</v>
      </c>
      <c r="AF69" s="261" t="s">
        <v>394</v>
      </c>
      <c r="AG69" s="132" t="s">
        <v>339</v>
      </c>
      <c r="AH69" s="132">
        <v>23.659082412719727</v>
      </c>
      <c r="AI69" s="132">
        <f t="shared" si="90"/>
        <v>7.5492972158902273E-8</v>
      </c>
      <c r="AJ69" s="520">
        <f t="shared" si="75"/>
        <v>3.0723992277801182</v>
      </c>
      <c r="AK69" s="672">
        <f>AVERAGE(AJ69:AJ70)</f>
        <v>4.0580691402784144</v>
      </c>
      <c r="AL69" s="261" t="s">
        <v>401</v>
      </c>
      <c r="AM69" s="132" t="s">
        <v>339</v>
      </c>
      <c r="AN69" s="132">
        <v>22.804544448852539</v>
      </c>
      <c r="AO69" s="132">
        <f t="shared" si="91"/>
        <v>1.365048504287607E-7</v>
      </c>
      <c r="AP69" s="520">
        <f t="shared" si="76"/>
        <v>5.1860347803432782</v>
      </c>
      <c r="AQ69" s="672">
        <f>AVERAGE(AP69:AP70)</f>
        <v>7.9737658098670714</v>
      </c>
      <c r="AR69" s="261" t="s">
        <v>407</v>
      </c>
      <c r="AS69" s="132" t="s">
        <v>339</v>
      </c>
      <c r="AT69" s="122">
        <v>23.598878860473633</v>
      </c>
      <c r="AU69" s="132">
        <f t="shared" si="92"/>
        <v>7.8709943193365353E-8</v>
      </c>
      <c r="AV69" s="79">
        <f t="shared" si="77"/>
        <v>0.39363544026001274</v>
      </c>
      <c r="AW69" s="789">
        <f>AVERAGE(AV69:AV70)</f>
        <v>0.58581003773040607</v>
      </c>
      <c r="AX69" s="261" t="s">
        <v>351</v>
      </c>
      <c r="AY69" s="132" t="s">
        <v>425</v>
      </c>
      <c r="AZ69" s="132">
        <v>26.738849639892578</v>
      </c>
      <c r="BA69" s="132">
        <f t="shared" si="93"/>
        <v>8.9290284934084501E-9</v>
      </c>
      <c r="BB69" s="520">
        <f t="shared" si="78"/>
        <v>6.1985692881957509E-2</v>
      </c>
      <c r="BC69" s="672">
        <f>AVERAGE(BB69:BB70)</f>
        <v>4.6752281397629207E-2</v>
      </c>
      <c r="BD69" s="261" t="s">
        <v>334</v>
      </c>
      <c r="BE69" s="132" t="s">
        <v>425</v>
      </c>
      <c r="BF69" s="132">
        <v>25.532138824462891</v>
      </c>
      <c r="BG69" s="132">
        <f t="shared" si="94"/>
        <v>2.0609163296377316E-8</v>
      </c>
      <c r="BH69" s="520">
        <f t="shared" si="79"/>
        <v>8.27975105319394E-2</v>
      </c>
      <c r="BI69" s="672">
        <f>AVERAGE(BH69:BH70)</f>
        <v>6.803962379722274E-2</v>
      </c>
      <c r="BJ69" s="261" t="s">
        <v>441</v>
      </c>
      <c r="BK69" s="132" t="s">
        <v>425</v>
      </c>
      <c r="BL69" s="132">
        <v>26.393016815185547</v>
      </c>
      <c r="BM69" s="132">
        <f t="shared" si="95"/>
        <v>1.1347763147954467E-8</v>
      </c>
      <c r="BN69" s="520">
        <f t="shared" si="80"/>
        <v>2.3344422758214415E-2</v>
      </c>
      <c r="BO69" s="672">
        <f>AVERAGE(BN69:BN70)</f>
        <v>2.8803304260427709E-2</v>
      </c>
      <c r="BP69" s="261" t="s">
        <v>386</v>
      </c>
      <c r="BQ69" s="132" t="s">
        <v>425</v>
      </c>
      <c r="BR69" s="132">
        <v>30.734485626220703</v>
      </c>
      <c r="BS69" s="132">
        <f t="shared" si="96"/>
        <v>5.5975492731881626E-10</v>
      </c>
      <c r="BT69" s="520">
        <f t="shared" si="81"/>
        <v>0.29460904445783576</v>
      </c>
      <c r="BU69" s="672">
        <f>AVERAGE(BT69:BT70)</f>
        <v>0.27617936631127737</v>
      </c>
      <c r="BV69" s="261" t="s">
        <v>392</v>
      </c>
      <c r="BW69" s="132" t="s">
        <v>425</v>
      </c>
      <c r="BX69" s="132">
        <v>29.702911376953125</v>
      </c>
      <c r="BY69" s="132">
        <f t="shared" si="97"/>
        <v>1.144281079439594E-9</v>
      </c>
      <c r="BZ69" s="520">
        <f t="shared" si="82"/>
        <v>1.1471920867141469E-3</v>
      </c>
      <c r="CA69" s="672">
        <f>AVERAGE(BZ69:BZ70)</f>
        <v>9.8769475779961593E-4</v>
      </c>
      <c r="CB69" s="261" t="s">
        <v>399</v>
      </c>
      <c r="CC69" s="132" t="s">
        <v>425</v>
      </c>
      <c r="CD69" s="132">
        <v>28.57464599609375</v>
      </c>
      <c r="CE69" s="132">
        <f t="shared" si="98"/>
        <v>2.5013498577454229E-9</v>
      </c>
      <c r="CF69" s="520">
        <f t="shared" si="83"/>
        <v>2.2742858146568229E-3</v>
      </c>
      <c r="CG69" s="672">
        <f>AVERAGE(CF69:CF70)</f>
        <v>2.7499836817161862E-3</v>
      </c>
      <c r="CH69" s="261" t="s">
        <v>405</v>
      </c>
      <c r="CI69" s="132" t="s">
        <v>425</v>
      </c>
      <c r="CJ69" s="132">
        <v>28.521371841430664</v>
      </c>
      <c r="CK69" s="132">
        <f t="shared" si="99"/>
        <v>2.5954433747805152E-9</v>
      </c>
      <c r="CL69" s="520">
        <f t="shared" si="84"/>
        <v>2.3108257832841202E-2</v>
      </c>
      <c r="CM69" s="672">
        <f>AVERAGE(CL69:CL70)</f>
        <v>2.2844469630204749E-2</v>
      </c>
    </row>
    <row r="70" spans="2:91" x14ac:dyDescent="0.25">
      <c r="B70" s="479" t="s">
        <v>351</v>
      </c>
      <c r="C70" s="132" t="s">
        <v>339</v>
      </c>
      <c r="D70" s="132">
        <v>21.155055999755859</v>
      </c>
      <c r="E70" s="122">
        <f t="shared" si="85"/>
        <v>4.2824626521534006E-7</v>
      </c>
      <c r="F70">
        <f t="shared" si="71"/>
        <v>2.5497525944566724E-3</v>
      </c>
      <c r="G70" s="789"/>
      <c r="H70" s="479" t="s">
        <v>334</v>
      </c>
      <c r="I70" s="132" t="s">
        <v>339</v>
      </c>
      <c r="J70" s="132">
        <v>21.509021759033203</v>
      </c>
      <c r="K70" s="122">
        <f t="shared" si="86"/>
        <v>3.3507287586761838E-7</v>
      </c>
      <c r="L70">
        <f t="shared" si="73"/>
        <v>5.1914751999043211E-2</v>
      </c>
      <c r="M70" s="789"/>
      <c r="N70" s="490">
        <v>18</v>
      </c>
      <c r="O70" s="79" t="s">
        <v>339</v>
      </c>
      <c r="P70" s="79">
        <v>21.824384689331055</v>
      </c>
      <c r="Q70" s="79">
        <f t="shared" si="87"/>
        <v>2.6928091330195249E-7</v>
      </c>
      <c r="R70" s="79">
        <f t="shared" si="74"/>
        <v>0.26088350986734077</v>
      </c>
      <c r="S70" s="789"/>
      <c r="T70" s="496" t="s">
        <v>360</v>
      </c>
      <c r="U70" s="274" t="s">
        <v>360</v>
      </c>
      <c r="V70" s="274" t="s">
        <v>360</v>
      </c>
      <c r="W70" s="274"/>
      <c r="X70" s="274"/>
      <c r="Y70" s="484"/>
      <c r="Z70" s="261" t="s">
        <v>388</v>
      </c>
      <c r="AA70" s="132" t="s">
        <v>339</v>
      </c>
      <c r="AB70" s="132">
        <v>19.660369873046875</v>
      </c>
      <c r="AC70" s="132">
        <f t="shared" si="89"/>
        <v>1.2068101171215312E-6</v>
      </c>
      <c r="AD70" s="520">
        <f>AC70/$AC$10</f>
        <v>59.814599990816859</v>
      </c>
      <c r="AE70" s="672"/>
      <c r="AF70" s="261" t="s">
        <v>394</v>
      </c>
      <c r="AG70" s="132" t="s">
        <v>339</v>
      </c>
      <c r="AH70" s="132">
        <v>23.706020355224609</v>
      </c>
      <c r="AI70" s="132">
        <f t="shared" si="90"/>
        <v>7.3076341262171102E-8</v>
      </c>
      <c r="AJ70" s="520">
        <f t="shared" si="75"/>
        <v>5.0437390527767105</v>
      </c>
      <c r="AK70" s="672"/>
      <c r="AL70" s="261" t="s">
        <v>401</v>
      </c>
      <c r="AM70" s="132" t="s">
        <v>339</v>
      </c>
      <c r="AN70" s="132">
        <v>22.459808349609375</v>
      </c>
      <c r="AO70" s="132">
        <f t="shared" si="91"/>
        <v>1.7335005744246539E-7</v>
      </c>
      <c r="AP70" s="520">
        <f t="shared" si="76"/>
        <v>10.761496839390864</v>
      </c>
      <c r="AQ70" s="672"/>
      <c r="AR70" s="261" t="s">
        <v>407</v>
      </c>
      <c r="AS70" s="132" t="s">
        <v>339</v>
      </c>
      <c r="AT70" s="122">
        <v>23.284687042236328</v>
      </c>
      <c r="AU70" s="132">
        <f t="shared" si="92"/>
        <v>9.7861250417919226E-8</v>
      </c>
      <c r="AV70" s="79">
        <f t="shared" si="77"/>
        <v>0.77798463520079952</v>
      </c>
      <c r="AW70" s="789"/>
      <c r="AX70" s="261" t="s">
        <v>351</v>
      </c>
      <c r="AY70" s="132" t="s">
        <v>425</v>
      </c>
      <c r="AZ70" s="132">
        <v>26.890336990356445</v>
      </c>
      <c r="BA70" s="132">
        <f t="shared" si="93"/>
        <v>8.0389989583724795E-9</v>
      </c>
      <c r="BB70" s="520">
        <f t="shared" si="78"/>
        <v>3.1518869913300905E-2</v>
      </c>
      <c r="BC70" s="672"/>
      <c r="BD70" s="261" t="s">
        <v>334</v>
      </c>
      <c r="BE70" s="132" t="s">
        <v>425</v>
      </c>
      <c r="BF70" s="132">
        <v>26.680353164672852</v>
      </c>
      <c r="BG70" s="132">
        <f t="shared" si="94"/>
        <v>9.298510857696161E-9</v>
      </c>
      <c r="BH70" s="520">
        <f t="shared" si="79"/>
        <v>5.3281737062506086E-2</v>
      </c>
      <c r="BI70" s="672"/>
      <c r="BJ70" s="261" t="s">
        <v>441</v>
      </c>
      <c r="BK70" s="132" t="s">
        <v>425</v>
      </c>
      <c r="BL70" s="132">
        <v>26.80232048034668</v>
      </c>
      <c r="BM70" s="132">
        <f t="shared" si="95"/>
        <v>8.5447150030471563E-9</v>
      </c>
      <c r="BN70" s="520">
        <f t="shared" si="80"/>
        <v>3.4262185762641006E-2</v>
      </c>
      <c r="BO70" s="672"/>
      <c r="BP70" s="261" t="s">
        <v>386</v>
      </c>
      <c r="BQ70" s="132" t="s">
        <v>425</v>
      </c>
      <c r="BR70" s="132">
        <v>30.761030197143555</v>
      </c>
      <c r="BS70" s="132">
        <f t="shared" si="96"/>
        <v>5.4955000117837082E-10</v>
      </c>
      <c r="BT70" s="520">
        <f t="shared" si="81"/>
        <v>0.25774968816471905</v>
      </c>
      <c r="BU70" s="672"/>
      <c r="BV70" s="261" t="s">
        <v>392</v>
      </c>
      <c r="BW70" s="132" t="s">
        <v>425</v>
      </c>
      <c r="BX70" s="132">
        <v>29.930303573608398</v>
      </c>
      <c r="BY70" s="132">
        <f t="shared" si="97"/>
        <v>9.7741915306645455E-10</v>
      </c>
      <c r="BZ70" s="520">
        <f t="shared" si="82"/>
        <v>8.2819742888508502E-4</v>
      </c>
      <c r="CA70" s="672"/>
      <c r="CB70" s="261" t="s">
        <v>399</v>
      </c>
      <c r="CC70" s="132" t="s">
        <v>425</v>
      </c>
      <c r="CD70" s="132">
        <v>28.458524703979492</v>
      </c>
      <c r="CE70" s="132">
        <f t="shared" si="98"/>
        <v>2.7110057065822438E-9</v>
      </c>
      <c r="CF70" s="520">
        <f t="shared" si="83"/>
        <v>3.2256815487755495E-3</v>
      </c>
      <c r="CG70" s="672"/>
      <c r="CH70" s="261" t="s">
        <v>405</v>
      </c>
      <c r="CI70" s="132" t="s">
        <v>425</v>
      </c>
      <c r="CJ70" s="132">
        <v>28.990480422973633</v>
      </c>
      <c r="CK70" s="132">
        <f t="shared" si="99"/>
        <v>1.8749763925140694E-9</v>
      </c>
      <c r="CL70" s="520">
        <f t="shared" si="84"/>
        <v>2.2580681427568295E-2</v>
      </c>
      <c r="CM70" s="672"/>
    </row>
    <row r="71" spans="2:91" x14ac:dyDescent="0.25">
      <c r="B71" s="479" t="s">
        <v>352</v>
      </c>
      <c r="C71" s="132" t="s">
        <v>339</v>
      </c>
      <c r="D71" s="132">
        <v>19.288249969482422</v>
      </c>
      <c r="E71" s="122">
        <f t="shared" si="85"/>
        <v>1.5619178757362599E-6</v>
      </c>
      <c r="F71">
        <f t="shared" si="71"/>
        <v>4.7221441530217933E-3</v>
      </c>
      <c r="G71" s="789">
        <f>AVERAGE(F71:F72)</f>
        <v>8.6637255373149275E-3</v>
      </c>
      <c r="H71" s="479">
        <v>19</v>
      </c>
      <c r="I71" s="132" t="s">
        <v>339</v>
      </c>
      <c r="J71" s="132">
        <v>20.599912643432617</v>
      </c>
      <c r="K71" s="122">
        <f t="shared" si="86"/>
        <v>6.2922850163482302E-7</v>
      </c>
      <c r="L71">
        <f t="shared" si="73"/>
        <v>0.10018063084378138</v>
      </c>
      <c r="M71" s="789">
        <f>AVERAGE(L71:L72)</f>
        <v>9.3804962413047491E-2</v>
      </c>
      <c r="N71" s="490">
        <v>4</v>
      </c>
      <c r="O71" s="79" t="s">
        <v>339</v>
      </c>
      <c r="P71" s="79">
        <v>23.256961822509766</v>
      </c>
      <c r="Q71" s="79">
        <f t="shared" si="87"/>
        <v>9.976010174644315E-8</v>
      </c>
      <c r="R71" s="79">
        <f t="shared" si="74"/>
        <v>4.2577517830822635E-2</v>
      </c>
      <c r="S71" s="789">
        <f>AVERAGE(R71:R72)</f>
        <v>7.8205463988804111E-2</v>
      </c>
      <c r="T71" s="496" t="s">
        <v>360</v>
      </c>
      <c r="U71" s="274" t="s">
        <v>360</v>
      </c>
      <c r="V71" s="274" t="s">
        <v>360</v>
      </c>
      <c r="W71" s="274"/>
      <c r="X71" s="274"/>
      <c r="Y71" s="484"/>
      <c r="Z71" s="261" t="s">
        <v>389</v>
      </c>
      <c r="AA71" s="132" t="s">
        <v>339</v>
      </c>
      <c r="AB71" s="132">
        <v>19.48539924621582</v>
      </c>
      <c r="AC71" s="132">
        <f t="shared" si="89"/>
        <v>1.362417926575167E-6</v>
      </c>
      <c r="AD71" s="520">
        <f>AC71/$AC$11</f>
        <v>101.88577229689089</v>
      </c>
      <c r="AE71" s="672">
        <f>AVERAGE(AD71:AD72)</f>
        <v>109.20925898229331</v>
      </c>
      <c r="AF71" s="261" t="s">
        <v>395</v>
      </c>
      <c r="AG71" s="132" t="s">
        <v>339</v>
      </c>
      <c r="AH71" s="132">
        <v>22.918838500976563</v>
      </c>
      <c r="AI71" s="132">
        <f t="shared" si="90"/>
        <v>1.2610785694497234E-7</v>
      </c>
      <c r="AJ71" s="520">
        <f t="shared" si="75"/>
        <v>4.009429547491858</v>
      </c>
      <c r="AK71" s="672">
        <f>AVERAGE(AJ71:AJ72)</f>
        <v>3.6734534964769097</v>
      </c>
      <c r="AL71" s="261" t="s">
        <v>402</v>
      </c>
      <c r="AM71" s="132" t="s">
        <v>339</v>
      </c>
      <c r="AN71" s="132">
        <v>23.543611526489258</v>
      </c>
      <c r="AO71" s="132">
        <f t="shared" si="91"/>
        <v>8.178369426801994E-8</v>
      </c>
      <c r="AP71" s="520">
        <f t="shared" si="76"/>
        <v>0.3247667270692835</v>
      </c>
      <c r="AQ71" s="672">
        <f>AVERAGE(AP71:AP72)</f>
        <v>0.41483719734481361</v>
      </c>
      <c r="AR71" s="525" t="s">
        <v>360</v>
      </c>
      <c r="AS71" s="396" t="s">
        <v>360</v>
      </c>
      <c r="AT71" s="526" t="s">
        <v>360</v>
      </c>
      <c r="AU71" s="396"/>
      <c r="AV71" s="498"/>
      <c r="AW71" s="871"/>
      <c r="AX71" s="261" t="s">
        <v>352</v>
      </c>
      <c r="AY71" s="132" t="s">
        <v>425</v>
      </c>
      <c r="AZ71" s="132">
        <v>26.161565780639648</v>
      </c>
      <c r="BA71" s="132">
        <f t="shared" si="93"/>
        <v>1.3322445935721982E-8</v>
      </c>
      <c r="BB71" s="520">
        <f t="shared" si="78"/>
        <v>2.6575297077084593E-2</v>
      </c>
      <c r="BC71" s="672">
        <f>AVERAGE(BB71:BB72)</f>
        <v>2.8391150590083736E-2</v>
      </c>
      <c r="BD71" s="261" t="s">
        <v>431</v>
      </c>
      <c r="BE71" s="132" t="s">
        <v>425</v>
      </c>
      <c r="BF71" s="132">
        <v>25.248607635498047</v>
      </c>
      <c r="BG71" s="132">
        <f t="shared" si="94"/>
        <v>2.5084864124967452E-8</v>
      </c>
      <c r="BH71" s="520">
        <f t="shared" si="79"/>
        <v>0.15339550792004406</v>
      </c>
      <c r="BI71" s="672">
        <f>AVERAGE(BH71:BH72)</f>
        <v>0.1163467365947847</v>
      </c>
      <c r="BJ71" s="261" t="s">
        <v>442</v>
      </c>
      <c r="BK71" s="132" t="s">
        <v>425</v>
      </c>
      <c r="BL71" s="132">
        <v>27.026962280273438</v>
      </c>
      <c r="BM71" s="132">
        <f t="shared" si="95"/>
        <v>7.3126310464166434E-9</v>
      </c>
      <c r="BN71" s="520">
        <f t="shared" si="80"/>
        <v>1.9395077290476702E-2</v>
      </c>
      <c r="BO71" s="672">
        <f>AVERAGE(BN71:BN72)</f>
        <v>2.0071310235095487E-2</v>
      </c>
      <c r="BP71" s="261" t="s">
        <v>387</v>
      </c>
      <c r="BQ71" s="132" t="s">
        <v>425</v>
      </c>
      <c r="BR71" s="132">
        <v>28.909313201904297</v>
      </c>
      <c r="BS71" s="132">
        <f t="shared" si="96"/>
        <v>1.9834879763565621E-9</v>
      </c>
      <c r="BT71" s="520">
        <f t="shared" si="81"/>
        <v>8.1047007327036402E-2</v>
      </c>
      <c r="BU71" s="672">
        <f>AVERAGE(BT71:BT72)</f>
        <v>5.6235007521345567E-2</v>
      </c>
      <c r="BV71" s="261" t="s">
        <v>393</v>
      </c>
      <c r="BW71" s="132" t="s">
        <v>425</v>
      </c>
      <c r="BX71" s="132">
        <v>28.970890045166016</v>
      </c>
      <c r="BY71" s="132">
        <f t="shared" si="97"/>
        <v>1.9006103735645424E-9</v>
      </c>
      <c r="BZ71" s="520">
        <f t="shared" si="82"/>
        <v>8.5497527428794826E-4</v>
      </c>
      <c r="CA71" s="672">
        <f>AVERAGE(BZ71:BZ72)</f>
        <v>1.0036205998652703E-3</v>
      </c>
      <c r="CB71" s="261" t="s">
        <v>400</v>
      </c>
      <c r="CC71" s="132" t="s">
        <v>425</v>
      </c>
      <c r="CD71" s="132">
        <v>28.621549606323242</v>
      </c>
      <c r="CE71" s="132">
        <f t="shared" si="98"/>
        <v>2.4213359276383275E-9</v>
      </c>
      <c r="CF71" s="520">
        <f t="shared" si="83"/>
        <v>1.0155591211610197E-3</v>
      </c>
      <c r="CG71" s="672">
        <f>AVERAGE(CF71:CF72)</f>
        <v>1.3519431243114604E-3</v>
      </c>
      <c r="CH71" s="261" t="s">
        <v>406</v>
      </c>
      <c r="CI71" s="132" t="s">
        <v>425</v>
      </c>
      <c r="CJ71" s="132">
        <v>28.692373275756836</v>
      </c>
      <c r="CK71" s="132">
        <f t="shared" si="99"/>
        <v>2.3053400606034453E-9</v>
      </c>
      <c r="CL71" s="520">
        <f t="shared" si="84"/>
        <v>1.839518155352329E-2</v>
      </c>
      <c r="CM71" s="672">
        <f>AVERAGE(CL71:CL72)</f>
        <v>1.7342163776458534E-2</v>
      </c>
    </row>
    <row r="72" spans="2:91" x14ac:dyDescent="0.25">
      <c r="B72" s="479" t="s">
        <v>352</v>
      </c>
      <c r="C72" s="132" t="s">
        <v>339</v>
      </c>
      <c r="D72" s="132">
        <v>19.423011779785156</v>
      </c>
      <c r="E72" s="122">
        <f t="shared" si="85"/>
        <v>1.4226263489388873E-6</v>
      </c>
      <c r="F72">
        <f t="shared" si="71"/>
        <v>1.2605306921608063E-2</v>
      </c>
      <c r="G72" s="789"/>
      <c r="H72" s="479">
        <v>19</v>
      </c>
      <c r="I72" s="132" t="s">
        <v>339</v>
      </c>
      <c r="J72" s="132">
        <v>20.690708160400391</v>
      </c>
      <c r="K72" s="122">
        <f t="shared" si="86"/>
        <v>5.9084860186810197E-7</v>
      </c>
      <c r="L72">
        <f t="shared" si="73"/>
        <v>8.7429293982313597E-2</v>
      </c>
      <c r="M72" s="789"/>
      <c r="N72" s="490">
        <v>4</v>
      </c>
      <c r="O72" s="79" t="s">
        <v>339</v>
      </c>
      <c r="P72" s="79">
        <v>23.415069580078125</v>
      </c>
      <c r="Q72" s="79">
        <f t="shared" si="87"/>
        <v>8.94049790678914E-8</v>
      </c>
      <c r="R72" s="79">
        <f t="shared" si="74"/>
        <v>0.11383341014678558</v>
      </c>
      <c r="S72" s="789"/>
      <c r="T72" s="496" t="s">
        <v>360</v>
      </c>
      <c r="U72" s="274" t="s">
        <v>360</v>
      </c>
      <c r="V72" s="274" t="s">
        <v>360</v>
      </c>
      <c r="W72" s="274"/>
      <c r="X72" s="274"/>
      <c r="Y72" s="484"/>
      <c r="Z72" s="261" t="s">
        <v>389</v>
      </c>
      <c r="AA72" s="132" t="s">
        <v>339</v>
      </c>
      <c r="AB72" s="132">
        <v>19.936941146850586</v>
      </c>
      <c r="AC72" s="132">
        <f t="shared" si="89"/>
        <v>9.9628293847526853E-7</v>
      </c>
      <c r="AD72" s="520">
        <f>AC72/$AC$12</f>
        <v>116.53274566769571</v>
      </c>
      <c r="AE72" s="672"/>
      <c r="AF72" s="261" t="s">
        <v>395</v>
      </c>
      <c r="AG72" s="132" t="s">
        <v>339</v>
      </c>
      <c r="AH72" s="132">
        <v>23.036300659179688</v>
      </c>
      <c r="AI72" s="132">
        <f t="shared" si="90"/>
        <v>1.1624720306298756E-7</v>
      </c>
      <c r="AJ72" s="520">
        <f t="shared" si="75"/>
        <v>3.3374774454619609</v>
      </c>
      <c r="AK72" s="672"/>
      <c r="AL72" s="261" t="s">
        <v>402</v>
      </c>
      <c r="AM72" s="132" t="s">
        <v>339</v>
      </c>
      <c r="AN72" s="132">
        <v>23.12632942199707</v>
      </c>
      <c r="AO72" s="132">
        <f t="shared" si="91"/>
        <v>1.0921471438937084E-7</v>
      </c>
      <c r="AP72" s="520">
        <f t="shared" si="76"/>
        <v>0.50490766762034378</v>
      </c>
      <c r="AQ72" s="672"/>
      <c r="AR72" s="523" t="s">
        <v>360</v>
      </c>
      <c r="AS72" s="272" t="s">
        <v>360</v>
      </c>
      <c r="AT72" s="527" t="s">
        <v>360</v>
      </c>
      <c r="AU72" s="272"/>
      <c r="AV72" s="274"/>
      <c r="AW72" s="872"/>
      <c r="AX72" s="261" t="s">
        <v>352</v>
      </c>
      <c r="AY72" s="132" t="s">
        <v>425</v>
      </c>
      <c r="AZ72" s="132">
        <v>25.969757080078125</v>
      </c>
      <c r="BA72" s="132">
        <f t="shared" si="93"/>
        <v>1.5216828248601577E-8</v>
      </c>
      <c r="BB72" s="520">
        <f t="shared" si="78"/>
        <v>3.0207004103082882E-2</v>
      </c>
      <c r="BC72" s="672"/>
      <c r="BD72" s="261" t="s">
        <v>431</v>
      </c>
      <c r="BE72" s="132" t="s">
        <v>425</v>
      </c>
      <c r="BF72" s="132">
        <v>25.9427490234375</v>
      </c>
      <c r="BG72" s="132">
        <f t="shared" si="94"/>
        <v>1.5504378925925787E-8</v>
      </c>
      <c r="BH72" s="520">
        <f t="shared" si="79"/>
        <v>7.9297965269525331E-2</v>
      </c>
      <c r="BI72" s="672"/>
      <c r="BJ72" s="261" t="s">
        <v>442</v>
      </c>
      <c r="BK72" s="132" t="s">
        <v>425</v>
      </c>
      <c r="BL72" s="132">
        <v>27.567821502685547</v>
      </c>
      <c r="BM72" s="132">
        <f t="shared" si="95"/>
        <v>5.0264204377533485E-9</v>
      </c>
      <c r="BN72" s="520">
        <f t="shared" si="80"/>
        <v>2.0747543179714275E-2</v>
      </c>
      <c r="BO72" s="672"/>
      <c r="BP72" s="261" t="s">
        <v>387</v>
      </c>
      <c r="BQ72" s="132" t="s">
        <v>425</v>
      </c>
      <c r="BR72" s="132">
        <v>28.925016403198242</v>
      </c>
      <c r="BS72" s="132">
        <f t="shared" si="96"/>
        <v>1.9620155160992761E-9</v>
      </c>
      <c r="BT72" s="520">
        <f t="shared" si="81"/>
        <v>3.142300771565474E-2</v>
      </c>
      <c r="BU72" s="672"/>
      <c r="BV72" s="261" t="s">
        <v>393</v>
      </c>
      <c r="BW72" s="132" t="s">
        <v>425</v>
      </c>
      <c r="BX72" s="132">
        <v>29.228551864624023</v>
      </c>
      <c r="BY72" s="132">
        <f t="shared" si="97"/>
        <v>1.5897511906703492E-9</v>
      </c>
      <c r="BZ72" s="520">
        <f t="shared" si="82"/>
        <v>1.1522659254425923E-3</v>
      </c>
      <c r="CA72" s="672"/>
      <c r="CB72" s="261" t="s">
        <v>400</v>
      </c>
      <c r="CC72" s="132" t="s">
        <v>425</v>
      </c>
      <c r="CD72" s="132">
        <v>28.718864440917969</v>
      </c>
      <c r="CE72" s="132">
        <f t="shared" si="98"/>
        <v>2.2633950506085939E-9</v>
      </c>
      <c r="CF72" s="520">
        <f t="shared" si="83"/>
        <v>1.6883271274619009E-3</v>
      </c>
      <c r="CG72" s="672"/>
      <c r="CH72" s="261" t="s">
        <v>406</v>
      </c>
      <c r="CI72" s="132" t="s">
        <v>425</v>
      </c>
      <c r="CJ72" s="132">
        <v>28.758100509643555</v>
      </c>
      <c r="CK72" s="132">
        <f t="shared" si="99"/>
        <v>2.2026684351375357E-9</v>
      </c>
      <c r="CL72" s="520">
        <f t="shared" si="84"/>
        <v>1.6289145999393777E-2</v>
      </c>
      <c r="CM72" s="672"/>
    </row>
    <row r="73" spans="2:91" x14ac:dyDescent="0.25">
      <c r="B73" s="479" t="s">
        <v>353</v>
      </c>
      <c r="C73" s="132" t="s">
        <v>339</v>
      </c>
      <c r="D73" s="132">
        <v>25.803867340087891</v>
      </c>
      <c r="E73" s="122">
        <f t="shared" si="85"/>
        <v>1.70711165137798E-8</v>
      </c>
      <c r="F73">
        <f t="shared" si="71"/>
        <v>7.0575728583132848E-3</v>
      </c>
      <c r="G73" s="789">
        <f>AVERAGE(F73:F74)</f>
        <v>3.9190119320882868E-3</v>
      </c>
      <c r="H73" s="479">
        <v>20</v>
      </c>
      <c r="I73" s="132" t="s">
        <v>339</v>
      </c>
      <c r="J73" s="132">
        <v>21.565866470336914</v>
      </c>
      <c r="K73" s="122">
        <f t="shared" si="86"/>
        <v>3.2212713496382558E-7</v>
      </c>
      <c r="L73">
        <f t="shared" si="73"/>
        <v>4.4003177809018357E-2</v>
      </c>
      <c r="M73" s="789">
        <f>AVERAGE(L73:L74)</f>
        <v>3.8042002461278611E-2</v>
      </c>
      <c r="N73" s="490" t="s">
        <v>356</v>
      </c>
      <c r="O73" s="79" t="s">
        <v>339</v>
      </c>
      <c r="P73" s="79">
        <v>20.921091079711914</v>
      </c>
      <c r="Q73" s="79">
        <f t="shared" si="87"/>
        <v>5.0364443893771871E-7</v>
      </c>
      <c r="R73" s="79">
        <f t="shared" si="74"/>
        <v>0.58582836660549931</v>
      </c>
      <c r="S73" s="789">
        <f>AVERAGE(R73:R74)</f>
        <v>0.58640555578597042</v>
      </c>
      <c r="T73" s="496" t="s">
        <v>360</v>
      </c>
      <c r="U73" s="274" t="s">
        <v>360</v>
      </c>
      <c r="V73" s="274" t="s">
        <v>360</v>
      </c>
      <c r="W73" s="274"/>
      <c r="X73" s="274"/>
      <c r="Y73" s="484"/>
      <c r="Z73" s="261" t="s">
        <v>390</v>
      </c>
      <c r="AA73" s="132" t="s">
        <v>339</v>
      </c>
      <c r="AB73" s="132">
        <v>18.480617523193359</v>
      </c>
      <c r="AC73" s="132">
        <f t="shared" si="89"/>
        <v>2.7338821355747863E-6</v>
      </c>
      <c r="AD73" s="520">
        <f>AC73/$AC$13</f>
        <v>70.279344934774429</v>
      </c>
      <c r="AE73" s="672">
        <f>AVERAGE(AD73:AD74)</f>
        <v>30488.198122114634</v>
      </c>
      <c r="AF73" s="261" t="s">
        <v>396</v>
      </c>
      <c r="AG73" s="132" t="s">
        <v>339</v>
      </c>
      <c r="AH73" s="132">
        <v>22.667577743530273</v>
      </c>
      <c r="AI73" s="132">
        <f t="shared" si="90"/>
        <v>1.5009947393879033E-7</v>
      </c>
      <c r="AJ73" s="520">
        <f t="shared" si="75"/>
        <v>6.3740178706541819</v>
      </c>
      <c r="AK73" s="672">
        <f>AVERAGE(AJ73:AJ74)</f>
        <v>5.2863280617856319</v>
      </c>
      <c r="AL73" s="261" t="s">
        <v>403</v>
      </c>
      <c r="AM73" s="132" t="s">
        <v>339</v>
      </c>
      <c r="AN73" s="132">
        <v>23.403865814208984</v>
      </c>
      <c r="AO73" s="132">
        <f t="shared" si="91"/>
        <v>9.0101988439731018E-8</v>
      </c>
      <c r="AP73" s="520">
        <f t="shared" si="76"/>
        <v>3.9706523960127074</v>
      </c>
      <c r="AQ73" s="672">
        <f>AVERAGE(AP73:AP74)</f>
        <v>3.5195387798957749</v>
      </c>
      <c r="AR73" s="523" t="s">
        <v>360</v>
      </c>
      <c r="AS73" s="272" t="s">
        <v>360</v>
      </c>
      <c r="AT73" s="527" t="s">
        <v>360</v>
      </c>
      <c r="AU73" s="272"/>
      <c r="AV73" s="274"/>
      <c r="AW73" s="872"/>
      <c r="AX73" s="261" t="s">
        <v>353</v>
      </c>
      <c r="AY73" s="132" t="s">
        <v>425</v>
      </c>
      <c r="AZ73" s="132">
        <v>27.23918342590332</v>
      </c>
      <c r="BA73" s="132">
        <f t="shared" si="93"/>
        <v>6.3123159928325821E-9</v>
      </c>
      <c r="BB73" s="520">
        <f t="shared" si="78"/>
        <v>6.3266172367264784E-2</v>
      </c>
      <c r="BC73" s="672">
        <f>AVERAGE(BB73:BB74)</f>
        <v>4.428568560903804E-2</v>
      </c>
      <c r="BD73" s="261" t="s">
        <v>432</v>
      </c>
      <c r="BE73" s="132" t="s">
        <v>425</v>
      </c>
      <c r="BF73" s="132">
        <v>24.942348480224609</v>
      </c>
      <c r="BG73" s="132">
        <f t="shared" si="94"/>
        <v>3.1017368175911297E-8</v>
      </c>
      <c r="BH73" s="520">
        <f t="shared" si="79"/>
        <v>5.9887801868407552E-2</v>
      </c>
      <c r="BI73" s="672">
        <f>AVERAGE(BH73:BH74)</f>
        <v>7.0914688648592461E-2</v>
      </c>
      <c r="BJ73" s="261" t="s">
        <v>356</v>
      </c>
      <c r="BK73" s="132" t="s">
        <v>425</v>
      </c>
      <c r="BL73" s="132">
        <v>25.915332794189453</v>
      </c>
      <c r="BM73" s="132">
        <f t="shared" si="95"/>
        <v>1.580183349647943E-8</v>
      </c>
      <c r="BN73" s="520">
        <f t="shared" si="80"/>
        <v>4.1624371862149193E-2</v>
      </c>
      <c r="BO73" s="672">
        <f>AVERAGE(BN73:BN74)</f>
        <v>3.6101970111533058E-2</v>
      </c>
      <c r="BP73" s="261" t="s">
        <v>388</v>
      </c>
      <c r="BQ73" s="132" t="s">
        <v>425</v>
      </c>
      <c r="BR73" s="132">
        <v>30.583564758300781</v>
      </c>
      <c r="BS73" s="132">
        <f t="shared" si="96"/>
        <v>6.2148354369904144E-10</v>
      </c>
      <c r="BT73" s="520">
        <f t="shared" si="81"/>
        <v>7.3907431692213102E-2</v>
      </c>
      <c r="BU73" s="672">
        <f>AVERAGE(BT73:BT74)</f>
        <v>7.88334387269429E-2</v>
      </c>
      <c r="BV73" s="261" t="s">
        <v>394</v>
      </c>
      <c r="BW73" s="132" t="s">
        <v>425</v>
      </c>
      <c r="BX73" s="132">
        <v>30.623910903930664</v>
      </c>
      <c r="BY73" s="132">
        <f t="shared" si="97"/>
        <v>6.0434402593584655E-10</v>
      </c>
      <c r="BZ73" s="520">
        <f t="shared" si="82"/>
        <v>1.9009917912505938E-3</v>
      </c>
      <c r="CA73" s="672">
        <f>AVERAGE(BZ73:BZ74)</f>
        <v>1.8657075544884882E-3</v>
      </c>
      <c r="CB73" s="261" t="s">
        <v>401</v>
      </c>
      <c r="CC73" s="132" t="s">
        <v>425</v>
      </c>
      <c r="CD73" s="132">
        <v>28.475461959838867</v>
      </c>
      <c r="CE73" s="132">
        <f t="shared" si="98"/>
        <v>2.6793645664591004E-9</v>
      </c>
      <c r="CF73" s="520">
        <f t="shared" si="83"/>
        <v>3.1037788909345507E-3</v>
      </c>
      <c r="CG73" s="672">
        <f>AVERAGE(CF73:CF74)</f>
        <v>3.33614422636184E-3</v>
      </c>
      <c r="CH73" s="261" t="s">
        <v>407</v>
      </c>
      <c r="CI73" s="132" t="s">
        <v>425</v>
      </c>
      <c r="CJ73" s="132">
        <v>28.92774772644043</v>
      </c>
      <c r="CK73" s="132">
        <f t="shared" si="99"/>
        <v>1.9583045246068646E-9</v>
      </c>
      <c r="CL73" s="520">
        <f t="shared" si="84"/>
        <v>1.8556639748286738E-2</v>
      </c>
      <c r="CM73" s="672">
        <f>AVERAGE(CL73:CL74)</f>
        <v>1.9108348694442241E-2</v>
      </c>
    </row>
    <row r="74" spans="2:91" ht="15.75" thickBot="1" x14ac:dyDescent="0.3">
      <c r="B74" s="480" t="s">
        <v>353</v>
      </c>
      <c r="C74" s="203" t="s">
        <v>339</v>
      </c>
      <c r="D74" s="203">
        <v>25.91020393371582</v>
      </c>
      <c r="E74" s="123">
        <f t="shared" si="85"/>
        <v>1.5858109859972094E-8</v>
      </c>
      <c r="F74" s="6">
        <f t="shared" si="71"/>
        <v>7.8045100586328819E-4</v>
      </c>
      <c r="G74" s="789"/>
      <c r="H74" s="480">
        <v>20</v>
      </c>
      <c r="I74" s="203" t="s">
        <v>339</v>
      </c>
      <c r="J74" s="203">
        <v>21.830163955688477</v>
      </c>
      <c r="K74" s="123">
        <f t="shared" si="86"/>
        <v>2.6820436339524667E-7</v>
      </c>
      <c r="L74" s="6">
        <f t="shared" si="73"/>
        <v>3.2080827113538865E-2</v>
      </c>
      <c r="M74" s="790"/>
      <c r="N74" s="491" t="s">
        <v>356</v>
      </c>
      <c r="O74" s="82" t="s">
        <v>339</v>
      </c>
      <c r="P74" s="82">
        <v>20.589550018310547</v>
      </c>
      <c r="Q74" s="82">
        <f t="shared" si="87"/>
        <v>6.3376441027695927E-7</v>
      </c>
      <c r="R74" s="82">
        <f t="shared" si="74"/>
        <v>0.58698274496644154</v>
      </c>
      <c r="S74" s="790"/>
      <c r="T74" s="497" t="s">
        <v>360</v>
      </c>
      <c r="U74" s="493" t="s">
        <v>360</v>
      </c>
      <c r="V74" s="493" t="s">
        <v>360</v>
      </c>
      <c r="W74" s="493"/>
      <c r="X74" s="493"/>
      <c r="Y74" s="485"/>
      <c r="Z74" s="262" t="s">
        <v>390</v>
      </c>
      <c r="AA74" s="203" t="s">
        <v>339</v>
      </c>
      <c r="AB74" s="203">
        <v>9.0310258865356445</v>
      </c>
      <c r="AC74" s="203">
        <f t="shared" si="89"/>
        <v>1.9115704859729919E-3</v>
      </c>
      <c r="AD74" s="521">
        <f>AC74/$AC$14</f>
        <v>60906.116899294495</v>
      </c>
      <c r="AE74" s="672"/>
      <c r="AF74" s="262" t="s">
        <v>396</v>
      </c>
      <c r="AG74" s="203" t="s">
        <v>339</v>
      </c>
      <c r="AH74" s="203">
        <v>22.784002304077148</v>
      </c>
      <c r="AI74" s="203">
        <f t="shared" si="90"/>
        <v>1.3846240960630765E-7</v>
      </c>
      <c r="AJ74" s="521">
        <f t="shared" si="75"/>
        <v>4.1986382529170809</v>
      </c>
      <c r="AK74" s="672"/>
      <c r="AL74" s="262" t="s">
        <v>403</v>
      </c>
      <c r="AM74" s="203" t="s">
        <v>339</v>
      </c>
      <c r="AN74" s="203">
        <v>23.588155746459961</v>
      </c>
      <c r="AO74" s="203">
        <f t="shared" si="91"/>
        <v>7.9297149853634891E-8</v>
      </c>
      <c r="AP74" s="521">
        <f t="shared" si="76"/>
        <v>3.0684251637788424</v>
      </c>
      <c r="AQ74" s="672"/>
      <c r="AR74" s="524" t="s">
        <v>360</v>
      </c>
      <c r="AS74" s="278" t="s">
        <v>360</v>
      </c>
      <c r="AT74" s="528" t="s">
        <v>360</v>
      </c>
      <c r="AU74" s="278"/>
      <c r="AV74" s="493"/>
      <c r="AW74" s="873"/>
      <c r="AX74" s="262" t="s">
        <v>353</v>
      </c>
      <c r="AY74" s="203" t="s">
        <v>425</v>
      </c>
      <c r="AZ74" s="203">
        <v>28.303451538085938</v>
      </c>
      <c r="BA74" s="203">
        <f t="shared" si="93"/>
        <v>3.0186454467654561E-9</v>
      </c>
      <c r="BB74" s="521">
        <f t="shared" si="78"/>
        <v>2.5305198850811294E-2</v>
      </c>
      <c r="BC74" s="672"/>
      <c r="BD74" s="262" t="s">
        <v>432</v>
      </c>
      <c r="BE74" s="203" t="s">
        <v>425</v>
      </c>
      <c r="BF74" s="203">
        <v>26.458690643310547</v>
      </c>
      <c r="BG74" s="203">
        <f t="shared" si="94"/>
        <v>1.0842775614437339E-8</v>
      </c>
      <c r="BH74" s="521">
        <f t="shared" si="79"/>
        <v>8.1941575428777363E-2</v>
      </c>
      <c r="BI74" s="672"/>
      <c r="BJ74" s="262" t="s">
        <v>356</v>
      </c>
      <c r="BK74" s="203" t="s">
        <v>425</v>
      </c>
      <c r="BL74" s="203">
        <v>26.309303283691406</v>
      </c>
      <c r="BM74" s="203">
        <f t="shared" si="95"/>
        <v>1.2025705014759087E-8</v>
      </c>
      <c r="BN74" s="521">
        <f t="shared" si="80"/>
        <v>3.0579568360916923E-2</v>
      </c>
      <c r="BO74" s="672"/>
      <c r="BP74" s="262" t="s">
        <v>388</v>
      </c>
      <c r="BQ74" s="203" t="s">
        <v>425</v>
      </c>
      <c r="BR74" s="203">
        <v>30.910221099853516</v>
      </c>
      <c r="BS74" s="203">
        <f t="shared" si="96"/>
        <v>4.9556003658869037E-10</v>
      </c>
      <c r="BT74" s="521">
        <f t="shared" si="81"/>
        <v>8.3759445761672713E-2</v>
      </c>
      <c r="BU74" s="672"/>
      <c r="BV74" s="262" t="s">
        <v>394</v>
      </c>
      <c r="BW74" s="203" t="s">
        <v>425</v>
      </c>
      <c r="BX74" s="203">
        <v>30.632341384887695</v>
      </c>
      <c r="BY74" s="203">
        <f t="shared" si="97"/>
        <v>6.0082280114952335E-10</v>
      </c>
      <c r="BZ74" s="521">
        <f t="shared" si="82"/>
        <v>1.8304233177263826E-3</v>
      </c>
      <c r="CA74" s="672"/>
      <c r="CB74" s="262" t="s">
        <v>401</v>
      </c>
      <c r="CC74" s="203" t="s">
        <v>425</v>
      </c>
      <c r="CD74" s="203">
        <v>28.293327331542969</v>
      </c>
      <c r="CE74" s="203">
        <f t="shared" si="98"/>
        <v>3.0399034906812253E-9</v>
      </c>
      <c r="CF74" s="521">
        <f t="shared" si="83"/>
        <v>3.5685095617891296E-3</v>
      </c>
      <c r="CG74" s="672"/>
      <c r="CH74" s="262" t="s">
        <v>407</v>
      </c>
      <c r="CI74" s="203" t="s">
        <v>425</v>
      </c>
      <c r="CJ74" s="203">
        <v>28.881359100341797</v>
      </c>
      <c r="CK74" s="203">
        <f t="shared" si="99"/>
        <v>2.0222954058650374E-9</v>
      </c>
      <c r="CL74" s="521">
        <f t="shared" si="84"/>
        <v>1.9660057640597743E-2</v>
      </c>
      <c r="CM74" s="672"/>
    </row>
    <row r="75" spans="2:91" x14ac:dyDescent="0.25">
      <c r="B75" s="478" t="s">
        <v>331</v>
      </c>
      <c r="C75" s="202" t="s">
        <v>340</v>
      </c>
      <c r="D75" s="202" t="s">
        <v>333</v>
      </c>
      <c r="E75" s="443" t="e">
        <f t="shared" si="85"/>
        <v>#VALUE!</v>
      </c>
      <c r="F75" s="8" t="e">
        <f t="shared" ref="F75:F86" si="100">E75/E3</f>
        <v>#VALUE!</v>
      </c>
      <c r="G75" s="487"/>
      <c r="H75" s="478" t="s">
        <v>331</v>
      </c>
      <c r="I75" s="202" t="s">
        <v>340</v>
      </c>
      <c r="J75" s="202" t="s">
        <v>333</v>
      </c>
      <c r="K75" s="443" t="e">
        <f t="shared" si="86"/>
        <v>#VALUE!</v>
      </c>
      <c r="L75" s="8" t="e">
        <f>K75/K3</f>
        <v>#VALUE!</v>
      </c>
      <c r="M75" s="487"/>
      <c r="N75" s="489" t="s">
        <v>331</v>
      </c>
      <c r="O75" s="251" t="s">
        <v>340</v>
      </c>
      <c r="P75" s="251" t="s">
        <v>333</v>
      </c>
      <c r="Q75" s="251" t="e">
        <f t="shared" si="87"/>
        <v>#VALUE!</v>
      </c>
      <c r="R75" s="251" t="e">
        <f>Q75/Q3</f>
        <v>#VALUE!</v>
      </c>
      <c r="S75" s="487"/>
      <c r="T75" s="375" t="s">
        <v>331</v>
      </c>
      <c r="U75" s="251" t="s">
        <v>340</v>
      </c>
      <c r="V75" s="251" t="s">
        <v>333</v>
      </c>
      <c r="W75" s="251" t="e">
        <f t="shared" si="88"/>
        <v>#VALUE!</v>
      </c>
      <c r="X75" s="251" t="e">
        <f t="shared" ref="X75:X80" si="101">W75/W3</f>
        <v>#VALUE!</v>
      </c>
      <c r="Y75" s="487"/>
      <c r="Z75" s="452" t="s">
        <v>331</v>
      </c>
      <c r="AA75" s="202" t="s">
        <v>340</v>
      </c>
      <c r="AB75" s="202" t="s">
        <v>333</v>
      </c>
      <c r="AC75" s="202" t="e">
        <f t="shared" si="89"/>
        <v>#VALUE!</v>
      </c>
      <c r="AD75" s="514" t="e">
        <f>AC75/$AC$3</f>
        <v>#VALUE!</v>
      </c>
      <c r="AE75" s="400"/>
      <c r="AF75" s="452" t="s">
        <v>331</v>
      </c>
      <c r="AG75" s="202" t="s">
        <v>340</v>
      </c>
      <c r="AH75" s="202" t="s">
        <v>333</v>
      </c>
      <c r="AI75" s="202" t="e">
        <f t="shared" si="90"/>
        <v>#VALUE!</v>
      </c>
      <c r="AJ75" s="514" t="e">
        <f>AI75/AI3</f>
        <v>#VALUE!</v>
      </c>
      <c r="AK75" s="400"/>
      <c r="AL75" s="452" t="s">
        <v>331</v>
      </c>
      <c r="AM75" s="202" t="s">
        <v>340</v>
      </c>
      <c r="AN75" s="202" t="s">
        <v>333</v>
      </c>
      <c r="AO75" s="202" t="e">
        <f t="shared" si="91"/>
        <v>#VALUE!</v>
      </c>
      <c r="AP75" s="514" t="e">
        <f>AO75/AO3</f>
        <v>#VALUE!</v>
      </c>
      <c r="AQ75" s="400"/>
      <c r="AR75" s="452" t="s">
        <v>331</v>
      </c>
      <c r="AS75" s="202" t="s">
        <v>340</v>
      </c>
      <c r="AT75" s="443">
        <v>35.438446044921875</v>
      </c>
      <c r="AU75" s="202">
        <f t="shared" si="92"/>
        <v>2.1476561044309576E-11</v>
      </c>
      <c r="AV75" s="251" t="e">
        <f>AU75/AU3</f>
        <v>#VALUE!</v>
      </c>
      <c r="AW75" s="487"/>
      <c r="AX75" s="452" t="s">
        <v>331</v>
      </c>
      <c r="AY75" s="202" t="s">
        <v>426</v>
      </c>
      <c r="AZ75" s="202" t="s">
        <v>333</v>
      </c>
      <c r="BA75" s="202" t="e">
        <f t="shared" si="93"/>
        <v>#VALUE!</v>
      </c>
      <c r="BB75" s="514" t="e">
        <f>BA75/BA3</f>
        <v>#VALUE!</v>
      </c>
      <c r="BC75" s="400"/>
      <c r="BD75" s="452" t="s">
        <v>331</v>
      </c>
      <c r="BE75" s="202" t="s">
        <v>426</v>
      </c>
      <c r="BF75" s="202" t="s">
        <v>333</v>
      </c>
      <c r="BG75" s="202" t="e">
        <f t="shared" si="94"/>
        <v>#VALUE!</v>
      </c>
      <c r="BH75" s="514" t="e">
        <f>BG75/BG3</f>
        <v>#VALUE!</v>
      </c>
      <c r="BI75" s="400"/>
      <c r="BJ75" s="452" t="s">
        <v>331</v>
      </c>
      <c r="BK75" s="202" t="s">
        <v>426</v>
      </c>
      <c r="BL75" s="202" t="s">
        <v>333</v>
      </c>
      <c r="BM75" s="202" t="e">
        <f t="shared" si="95"/>
        <v>#VALUE!</v>
      </c>
      <c r="BN75" s="514" t="e">
        <f>BM75/BM3</f>
        <v>#VALUE!</v>
      </c>
      <c r="BO75" s="400"/>
      <c r="BP75" s="452" t="s">
        <v>331</v>
      </c>
      <c r="BQ75" s="202" t="s">
        <v>426</v>
      </c>
      <c r="BR75" s="202" t="s">
        <v>333</v>
      </c>
      <c r="BS75" s="202" t="e">
        <f t="shared" si="96"/>
        <v>#VALUE!</v>
      </c>
      <c r="BT75" s="514" t="e">
        <f>BS75/BS3</f>
        <v>#VALUE!</v>
      </c>
      <c r="BU75" s="400"/>
      <c r="BV75" s="452" t="s">
        <v>331</v>
      </c>
      <c r="BW75" s="202" t="s">
        <v>426</v>
      </c>
      <c r="BX75" s="202" t="s">
        <v>333</v>
      </c>
      <c r="BY75" s="202" t="e">
        <f t="shared" si="97"/>
        <v>#VALUE!</v>
      </c>
      <c r="BZ75" s="514" t="e">
        <f>BY75/BY3</f>
        <v>#VALUE!</v>
      </c>
      <c r="CA75" s="400"/>
      <c r="CB75" s="452" t="s">
        <v>331</v>
      </c>
      <c r="CC75" s="202" t="s">
        <v>426</v>
      </c>
      <c r="CD75" s="202" t="s">
        <v>333</v>
      </c>
      <c r="CE75" s="202" t="e">
        <f t="shared" si="98"/>
        <v>#VALUE!</v>
      </c>
      <c r="CF75" s="514" t="e">
        <f>CE75/CE3</f>
        <v>#VALUE!</v>
      </c>
      <c r="CG75" s="400"/>
      <c r="CH75" s="452" t="s">
        <v>331</v>
      </c>
      <c r="CI75" s="202" t="s">
        <v>426</v>
      </c>
      <c r="CJ75" s="202" t="s">
        <v>333</v>
      </c>
      <c r="CK75" s="202" t="e">
        <f t="shared" si="99"/>
        <v>#VALUE!</v>
      </c>
      <c r="CL75" s="514" t="e">
        <f>CK75/CK3</f>
        <v>#VALUE!</v>
      </c>
      <c r="CM75" s="400"/>
    </row>
    <row r="76" spans="2:91" x14ac:dyDescent="0.25">
      <c r="B76" s="486" t="s">
        <v>331</v>
      </c>
      <c r="C76" s="134" t="s">
        <v>340</v>
      </c>
      <c r="D76" s="134" t="s">
        <v>333</v>
      </c>
      <c r="E76" s="139" t="e">
        <f t="shared" si="85"/>
        <v>#VALUE!</v>
      </c>
      <c r="F76" s="162" t="e">
        <f t="shared" si="100"/>
        <v>#VALUE!</v>
      </c>
      <c r="G76" s="488"/>
      <c r="H76" s="486" t="s">
        <v>331</v>
      </c>
      <c r="I76" s="134" t="s">
        <v>340</v>
      </c>
      <c r="J76" s="134" t="s">
        <v>333</v>
      </c>
      <c r="K76" s="139" t="e">
        <f t="shared" si="86"/>
        <v>#VALUE!</v>
      </c>
      <c r="L76" s="162" t="e">
        <f t="shared" ref="L76:L86" si="102">K76/K4</f>
        <v>#VALUE!</v>
      </c>
      <c r="M76" s="488"/>
      <c r="N76" s="494" t="s">
        <v>331</v>
      </c>
      <c r="O76" s="138" t="s">
        <v>340</v>
      </c>
      <c r="P76" s="138" t="s">
        <v>333</v>
      </c>
      <c r="Q76" s="138" t="e">
        <f t="shared" si="87"/>
        <v>#VALUE!</v>
      </c>
      <c r="R76" s="138" t="e">
        <f t="shared" ref="R76:R86" si="103">Q76/Q4</f>
        <v>#VALUE!</v>
      </c>
      <c r="S76" s="488"/>
      <c r="T76" s="257" t="s">
        <v>331</v>
      </c>
      <c r="U76" s="138" t="s">
        <v>340</v>
      </c>
      <c r="V76" s="138" t="s">
        <v>333</v>
      </c>
      <c r="W76" s="138" t="e">
        <f t="shared" si="88"/>
        <v>#VALUE!</v>
      </c>
      <c r="X76" s="138" t="e">
        <f t="shared" si="101"/>
        <v>#VALUE!</v>
      </c>
      <c r="Y76" s="488"/>
      <c r="Z76" s="513" t="s">
        <v>331</v>
      </c>
      <c r="AA76" s="134" t="s">
        <v>340</v>
      </c>
      <c r="AB76" s="134" t="s">
        <v>333</v>
      </c>
      <c r="AC76" s="134" t="e">
        <f t="shared" si="89"/>
        <v>#VALUE!</v>
      </c>
      <c r="AD76" s="519" t="e">
        <f>AC76/$AC$4</f>
        <v>#VALUE!</v>
      </c>
      <c r="AE76" s="385"/>
      <c r="AF76" s="513" t="s">
        <v>331</v>
      </c>
      <c r="AG76" s="134" t="s">
        <v>340</v>
      </c>
      <c r="AH76" s="134" t="s">
        <v>333</v>
      </c>
      <c r="AI76" s="134" t="e">
        <f t="shared" si="90"/>
        <v>#VALUE!</v>
      </c>
      <c r="AJ76" s="519" t="e">
        <f t="shared" ref="AJ76:AJ86" si="104">AI76/AI4</f>
        <v>#VALUE!</v>
      </c>
      <c r="AK76" s="385"/>
      <c r="AL76" s="513" t="s">
        <v>331</v>
      </c>
      <c r="AM76" s="134" t="s">
        <v>340</v>
      </c>
      <c r="AN76" s="134" t="s">
        <v>333</v>
      </c>
      <c r="AO76" s="134" t="e">
        <f t="shared" si="91"/>
        <v>#VALUE!</v>
      </c>
      <c r="AP76" s="519" t="e">
        <f t="shared" ref="AP76:AP86" si="105">AO76/AO4</f>
        <v>#VALUE!</v>
      </c>
      <c r="AQ76" s="385"/>
      <c r="AR76" s="513" t="s">
        <v>331</v>
      </c>
      <c r="AS76" s="134" t="s">
        <v>340</v>
      </c>
      <c r="AT76" s="139" t="s">
        <v>333</v>
      </c>
      <c r="AU76" s="134" t="e">
        <f t="shared" si="92"/>
        <v>#VALUE!</v>
      </c>
      <c r="AV76" s="138" t="e">
        <f t="shared" ref="AV76:AV82" si="106">AU76/AU4</f>
        <v>#VALUE!</v>
      </c>
      <c r="AW76" s="488"/>
      <c r="AX76" s="513" t="s">
        <v>331</v>
      </c>
      <c r="AY76" s="134" t="s">
        <v>426</v>
      </c>
      <c r="AZ76" s="134" t="s">
        <v>333</v>
      </c>
      <c r="BA76" s="134" t="e">
        <f t="shared" si="93"/>
        <v>#VALUE!</v>
      </c>
      <c r="BB76" s="519" t="e">
        <f t="shared" ref="BB76:BB86" si="107">BA76/BA4</f>
        <v>#VALUE!</v>
      </c>
      <c r="BC76" s="385"/>
      <c r="BD76" s="513" t="s">
        <v>331</v>
      </c>
      <c r="BE76" s="134" t="s">
        <v>426</v>
      </c>
      <c r="BF76" s="134" t="s">
        <v>333</v>
      </c>
      <c r="BG76" s="134" t="e">
        <f t="shared" si="94"/>
        <v>#VALUE!</v>
      </c>
      <c r="BH76" s="519" t="e">
        <f t="shared" ref="BH76:BH86" si="108">BG76/BG4</f>
        <v>#VALUE!</v>
      </c>
      <c r="BI76" s="385"/>
      <c r="BJ76" s="513" t="s">
        <v>331</v>
      </c>
      <c r="BK76" s="134" t="s">
        <v>426</v>
      </c>
      <c r="BL76" s="134" t="s">
        <v>333</v>
      </c>
      <c r="BM76" s="134" t="e">
        <f t="shared" si="95"/>
        <v>#VALUE!</v>
      </c>
      <c r="BN76" s="519" t="e">
        <f t="shared" ref="BN76:BN86" si="109">BM76/BM4</f>
        <v>#VALUE!</v>
      </c>
      <c r="BO76" s="385"/>
      <c r="BP76" s="513" t="s">
        <v>331</v>
      </c>
      <c r="BQ76" s="134" t="s">
        <v>426</v>
      </c>
      <c r="BR76" s="134" t="s">
        <v>333</v>
      </c>
      <c r="BS76" s="134" t="e">
        <f t="shared" si="96"/>
        <v>#VALUE!</v>
      </c>
      <c r="BT76" s="519" t="e">
        <f t="shared" ref="BT76:BT86" si="110">BS76/BS4</f>
        <v>#VALUE!</v>
      </c>
      <c r="BU76" s="385"/>
      <c r="BV76" s="513" t="s">
        <v>331</v>
      </c>
      <c r="BW76" s="134" t="s">
        <v>426</v>
      </c>
      <c r="BX76" s="134" t="s">
        <v>333</v>
      </c>
      <c r="BY76" s="134" t="e">
        <f t="shared" si="97"/>
        <v>#VALUE!</v>
      </c>
      <c r="BZ76" s="519" t="e">
        <f t="shared" ref="BZ76:BZ86" si="111">BY76/BY4</f>
        <v>#VALUE!</v>
      </c>
      <c r="CA76" s="385"/>
      <c r="CB76" s="513" t="s">
        <v>331</v>
      </c>
      <c r="CC76" s="134" t="s">
        <v>426</v>
      </c>
      <c r="CD76" s="134" t="s">
        <v>333</v>
      </c>
      <c r="CE76" s="134" t="e">
        <f t="shared" si="98"/>
        <v>#VALUE!</v>
      </c>
      <c r="CF76" s="519" t="e">
        <f t="shared" ref="CF76:CF86" si="112">CE76/CE4</f>
        <v>#VALUE!</v>
      </c>
      <c r="CG76" s="385"/>
      <c r="CH76" s="513" t="s">
        <v>331</v>
      </c>
      <c r="CI76" s="134" t="s">
        <v>426</v>
      </c>
      <c r="CJ76" s="134" t="s">
        <v>333</v>
      </c>
      <c r="CK76" s="134" t="e">
        <f t="shared" si="99"/>
        <v>#VALUE!</v>
      </c>
      <c r="CL76" s="519" t="e">
        <f t="shared" ref="CL76:CL86" si="113">CK76/CK4</f>
        <v>#VALUE!</v>
      </c>
      <c r="CM76" s="385"/>
    </row>
    <row r="77" spans="2:91" x14ac:dyDescent="0.25">
      <c r="B77" s="479" t="s">
        <v>349</v>
      </c>
      <c r="C77" s="132" t="s">
        <v>340</v>
      </c>
      <c r="D77" s="132">
        <v>17.546966552734375</v>
      </c>
      <c r="E77" s="122">
        <f t="shared" si="85"/>
        <v>5.2219984035295789E-6</v>
      </c>
      <c r="F77">
        <f t="shared" si="100"/>
        <v>2.5276678777685982E-3</v>
      </c>
      <c r="G77" s="789">
        <f>AVERAGE(F77:F78)</f>
        <v>3.8825349998339721E-3</v>
      </c>
      <c r="H77" s="479">
        <v>30</v>
      </c>
      <c r="I77" s="132" t="s">
        <v>340</v>
      </c>
      <c r="J77" s="132">
        <v>15.541605949401855</v>
      </c>
      <c r="K77" s="122">
        <f t="shared" si="86"/>
        <v>2.0965751234273759E-5</v>
      </c>
      <c r="L77">
        <f t="shared" si="102"/>
        <v>10.856218175688159</v>
      </c>
      <c r="M77" s="789">
        <f>AVERAGE(L77:L78)</f>
        <v>6.6084764032937455</v>
      </c>
      <c r="N77" s="490">
        <v>15</v>
      </c>
      <c r="O77" s="79" t="s">
        <v>340</v>
      </c>
      <c r="P77" s="79">
        <v>21.93621826171875</v>
      </c>
      <c r="Q77" s="79">
        <f t="shared" si="87"/>
        <v>2.4919556671540894E-7</v>
      </c>
      <c r="R77" s="79" t="e">
        <f t="shared" si="103"/>
        <v>#VALUE!</v>
      </c>
      <c r="S77" s="789" t="e">
        <f>AVERAGE(R77:R78)</f>
        <v>#VALUE!</v>
      </c>
      <c r="T77" s="80" t="s">
        <v>358</v>
      </c>
      <c r="U77" s="79" t="s">
        <v>340</v>
      </c>
      <c r="V77" s="79" t="s">
        <v>333</v>
      </c>
      <c r="W77" s="79" t="e">
        <f t="shared" si="88"/>
        <v>#VALUE!</v>
      </c>
      <c r="X77" s="79" t="e">
        <f t="shared" si="101"/>
        <v>#VALUE!</v>
      </c>
      <c r="Y77" s="789" t="e">
        <f>AVERAGE(X77:X78)</f>
        <v>#VALUE!</v>
      </c>
      <c r="Z77" s="261" t="s">
        <v>386</v>
      </c>
      <c r="AA77" s="132" t="s">
        <v>340</v>
      </c>
      <c r="AB77" s="132">
        <v>33.1739501953125</v>
      </c>
      <c r="AC77" s="132">
        <f t="shared" si="89"/>
        <v>1.031919731028855E-10</v>
      </c>
      <c r="AD77" s="520">
        <f>AC77/$AC$5</f>
        <v>9.3135426934315424E-3</v>
      </c>
      <c r="AE77" s="676">
        <f>AVERAGE(AD77:AD78)</f>
        <v>7.4200577503198183E-3</v>
      </c>
      <c r="AF77" s="261" t="s">
        <v>392</v>
      </c>
      <c r="AG77" s="132" t="s">
        <v>340</v>
      </c>
      <c r="AH77" s="132">
        <v>32.887294769287109</v>
      </c>
      <c r="AI77" s="132">
        <f t="shared" si="90"/>
        <v>1.258745115196764E-10</v>
      </c>
      <c r="AJ77" s="520">
        <f t="shared" si="104"/>
        <v>2.1436923416974906E-3</v>
      </c>
      <c r="AK77" s="676">
        <f>AVERAGE(AJ77:AJ78)</f>
        <v>2.8084132715720184E-3</v>
      </c>
      <c r="AL77" s="261" t="s">
        <v>399</v>
      </c>
      <c r="AM77" s="132" t="s">
        <v>340</v>
      </c>
      <c r="AN77" s="132">
        <v>30.244546890258789</v>
      </c>
      <c r="AO77" s="132">
        <f t="shared" si="91"/>
        <v>7.8611155640968553E-10</v>
      </c>
      <c r="AP77" s="520">
        <f t="shared" si="105"/>
        <v>3.0093997809594122E-2</v>
      </c>
      <c r="AQ77" s="676">
        <f>AVERAGE(AP77:AP78)</f>
        <v>3.764873673199335E-2</v>
      </c>
      <c r="AR77" s="261" t="s">
        <v>405</v>
      </c>
      <c r="AS77" s="132" t="s">
        <v>340</v>
      </c>
      <c r="AT77" s="122">
        <v>19.900537490844727</v>
      </c>
      <c r="AU77" s="132">
        <f t="shared" si="92"/>
        <v>1.0217420928049383E-6</v>
      </c>
      <c r="AV77" s="79">
        <f t="shared" si="106"/>
        <v>7.7030042370500542</v>
      </c>
      <c r="AW77" s="789">
        <f>AV77</f>
        <v>7.7030042370500542</v>
      </c>
      <c r="AX77" s="261" t="s">
        <v>349</v>
      </c>
      <c r="AY77" s="132" t="s">
        <v>426</v>
      </c>
      <c r="AZ77" s="132">
        <v>27.622486114501953</v>
      </c>
      <c r="BA77" s="132">
        <f t="shared" si="93"/>
        <v>4.8395293130183756E-9</v>
      </c>
      <c r="BB77" s="520">
        <f t="shared" si="107"/>
        <v>9.5531208836462846E-3</v>
      </c>
      <c r="BC77" s="676">
        <f>AVERAGE(BB77:BB78)</f>
        <v>8.7471609261265317E-3</v>
      </c>
      <c r="BD77" s="261" t="s">
        <v>429</v>
      </c>
      <c r="BE77" s="132" t="s">
        <v>426</v>
      </c>
      <c r="BF77" s="132">
        <v>30.53349494934082</v>
      </c>
      <c r="BG77" s="132">
        <f t="shared" si="94"/>
        <v>6.434312470594086E-10</v>
      </c>
      <c r="BH77" s="520">
        <f t="shared" si="108"/>
        <v>1.7064997162541077E-3</v>
      </c>
      <c r="BI77" s="676">
        <f>AVERAGE(BH77:BH78)</f>
        <v>8.7521851854726186E-4</v>
      </c>
      <c r="BJ77" s="261" t="s">
        <v>439</v>
      </c>
      <c r="BK77" s="132" t="s">
        <v>426</v>
      </c>
      <c r="BL77" s="132">
        <v>35.574005126953125</v>
      </c>
      <c r="BM77" s="132">
        <f t="shared" si="95"/>
        <v>1.9550478482810768E-11</v>
      </c>
      <c r="BN77" s="520">
        <f t="shared" si="109"/>
        <v>5.4925351620651717E-5</v>
      </c>
      <c r="BO77" s="676">
        <f>AVERAGE(BN77:BN78)</f>
        <v>6.3169105892995264E-5</v>
      </c>
      <c r="BP77" s="261" t="s">
        <v>358</v>
      </c>
      <c r="BQ77" s="132" t="s">
        <v>426</v>
      </c>
      <c r="BR77" s="132">
        <v>24.616569519042969</v>
      </c>
      <c r="BS77" s="132">
        <f t="shared" si="96"/>
        <v>3.8875338574131383E-8</v>
      </c>
      <c r="BT77" s="520">
        <f t="shared" si="110"/>
        <v>7.7506496161142843E-2</v>
      </c>
      <c r="BU77" s="676">
        <f>AVERAGE(BT77:BT78)</f>
        <v>6.5310105949618016E-2</v>
      </c>
      <c r="BV77" s="261" t="s">
        <v>389</v>
      </c>
      <c r="BW77" s="132" t="s">
        <v>426</v>
      </c>
      <c r="BX77" s="132" t="s">
        <v>333</v>
      </c>
      <c r="BY77" s="132" t="e">
        <f t="shared" si="97"/>
        <v>#VALUE!</v>
      </c>
      <c r="BZ77" s="520" t="e">
        <f t="shared" si="111"/>
        <v>#VALUE!</v>
      </c>
      <c r="CA77" s="676" t="e">
        <f>AVERAGE(BZ77:BZ78)</f>
        <v>#VALUE!</v>
      </c>
      <c r="CB77" s="261" t="s">
        <v>395</v>
      </c>
      <c r="CC77" s="132" t="s">
        <v>426</v>
      </c>
      <c r="CD77" s="132" t="s">
        <v>333</v>
      </c>
      <c r="CE77" s="132" t="e">
        <f t="shared" si="98"/>
        <v>#VALUE!</v>
      </c>
      <c r="CF77" s="520" t="e">
        <f t="shared" si="112"/>
        <v>#VALUE!</v>
      </c>
      <c r="CG77" s="676" t="e">
        <f>AVERAGE(CF77:CF78)</f>
        <v>#VALUE!</v>
      </c>
      <c r="CH77" s="261" t="s">
        <v>402</v>
      </c>
      <c r="CI77" s="132" t="s">
        <v>426</v>
      </c>
      <c r="CJ77" s="132" t="s">
        <v>333</v>
      </c>
      <c r="CK77" s="132" t="e">
        <f t="shared" si="99"/>
        <v>#VALUE!</v>
      </c>
      <c r="CL77" s="520" t="e">
        <f t="shared" si="113"/>
        <v>#VALUE!</v>
      </c>
      <c r="CM77" s="676">
        <f>AVERAGE(CL78)</f>
        <v>1.6157411664031046E-3</v>
      </c>
    </row>
    <row r="78" spans="2:91" x14ac:dyDescent="0.25">
      <c r="B78" s="479" t="s">
        <v>349</v>
      </c>
      <c r="C78" s="132" t="s">
        <v>340</v>
      </c>
      <c r="D78" s="132">
        <v>17.351343154907227</v>
      </c>
      <c r="E78" s="122">
        <f t="shared" si="85"/>
        <v>5.980331320611143E-6</v>
      </c>
      <c r="F78">
        <f t="shared" si="100"/>
        <v>5.237402121899346E-3</v>
      </c>
      <c r="G78" s="789"/>
      <c r="H78" s="479">
        <v>30</v>
      </c>
      <c r="I78" s="132" t="s">
        <v>340</v>
      </c>
      <c r="J78" s="132">
        <v>15.645857810974121</v>
      </c>
      <c r="K78" s="122">
        <f t="shared" si="86"/>
        <v>1.9504170779855669E-5</v>
      </c>
      <c r="L78">
        <f t="shared" si="102"/>
        <v>2.3607346308993322</v>
      </c>
      <c r="M78" s="789"/>
      <c r="N78" s="490">
        <v>15</v>
      </c>
      <c r="O78" s="79" t="s">
        <v>340</v>
      </c>
      <c r="P78" s="79">
        <v>21.884838104248047</v>
      </c>
      <c r="Q78" s="79">
        <f t="shared" si="87"/>
        <v>2.5823034791664364E-7</v>
      </c>
      <c r="R78" s="79">
        <f t="shared" si="103"/>
        <v>0.32730339797233976</v>
      </c>
      <c r="S78" s="789"/>
      <c r="T78" s="80" t="s">
        <v>358</v>
      </c>
      <c r="U78" s="79" t="s">
        <v>340</v>
      </c>
      <c r="V78" s="79" t="s">
        <v>333</v>
      </c>
      <c r="W78" s="79" t="e">
        <f t="shared" si="88"/>
        <v>#VALUE!</v>
      </c>
      <c r="X78" s="79" t="e">
        <f t="shared" si="101"/>
        <v>#VALUE!</v>
      </c>
      <c r="Y78" s="789"/>
      <c r="Z78" s="261" t="s">
        <v>386</v>
      </c>
      <c r="AA78" s="132" t="s">
        <v>340</v>
      </c>
      <c r="AB78" s="132">
        <v>34.158615112304688</v>
      </c>
      <c r="AC78" s="132">
        <f t="shared" si="89"/>
        <v>5.2147349676864463E-11</v>
      </c>
      <c r="AD78" s="520">
        <f>AC78/$AC$6</f>
        <v>5.5265728072080942E-3</v>
      </c>
      <c r="AE78" s="672"/>
      <c r="AF78" s="261" t="s">
        <v>392</v>
      </c>
      <c r="AG78" s="132" t="s">
        <v>340</v>
      </c>
      <c r="AH78" s="132">
        <v>32.716777801513672</v>
      </c>
      <c r="AI78" s="132">
        <f t="shared" si="90"/>
        <v>1.4166694228606984E-10</v>
      </c>
      <c r="AJ78" s="520">
        <f t="shared" si="104"/>
        <v>3.4731342014465466E-3</v>
      </c>
      <c r="AK78" s="672"/>
      <c r="AL78" s="261" t="s">
        <v>399</v>
      </c>
      <c r="AM78" s="132" t="s">
        <v>340</v>
      </c>
      <c r="AN78" s="132">
        <v>29.919198989868164</v>
      </c>
      <c r="AO78" s="132">
        <f t="shared" si="91"/>
        <v>9.84971484975372E-10</v>
      </c>
      <c r="AP78" s="520">
        <f t="shared" si="105"/>
        <v>4.5203475654392575E-2</v>
      </c>
      <c r="AQ78" s="672"/>
      <c r="AR78" s="261" t="s">
        <v>405</v>
      </c>
      <c r="AS78" s="132" t="s">
        <v>340</v>
      </c>
      <c r="AT78" s="122" t="s">
        <v>333</v>
      </c>
      <c r="AU78" s="132" t="e">
        <f t="shared" si="92"/>
        <v>#VALUE!</v>
      </c>
      <c r="AV78" s="79" t="e">
        <f t="shared" si="106"/>
        <v>#VALUE!</v>
      </c>
      <c r="AW78" s="789"/>
      <c r="AX78" s="261" t="s">
        <v>349</v>
      </c>
      <c r="AY78" s="132" t="s">
        <v>426</v>
      </c>
      <c r="AZ78" s="132">
        <v>27.930324554443359</v>
      </c>
      <c r="BA78" s="132">
        <f t="shared" si="93"/>
        <v>3.9096197550084118E-9</v>
      </c>
      <c r="BB78" s="520">
        <f t="shared" si="107"/>
        <v>7.9412009686067788E-3</v>
      </c>
      <c r="BC78" s="672"/>
      <c r="BD78" s="261" t="s">
        <v>429</v>
      </c>
      <c r="BE78" s="132" t="s">
        <v>426</v>
      </c>
      <c r="BF78" s="132">
        <v>37.187404632568359</v>
      </c>
      <c r="BG78" s="132">
        <f t="shared" si="94"/>
        <v>6.3896305033900075E-12</v>
      </c>
      <c r="BH78" s="520">
        <f t="shared" si="108"/>
        <v>4.3937320840416114E-5</v>
      </c>
      <c r="BI78" s="672"/>
      <c r="BJ78" s="261" t="s">
        <v>439</v>
      </c>
      <c r="BK78" s="132" t="s">
        <v>426</v>
      </c>
      <c r="BL78" s="132">
        <v>35.651210784912109</v>
      </c>
      <c r="BM78" s="132">
        <f t="shared" si="95"/>
        <v>1.853173887232027E-11</v>
      </c>
      <c r="BN78" s="520">
        <f t="shared" si="109"/>
        <v>7.1412860165338804E-5</v>
      </c>
      <c r="BO78" s="672"/>
      <c r="BP78" s="261" t="s">
        <v>358</v>
      </c>
      <c r="BQ78" s="132" t="s">
        <v>426</v>
      </c>
      <c r="BR78" s="132">
        <v>25.550514221191406</v>
      </c>
      <c r="BS78" s="132">
        <f t="shared" si="96"/>
        <v>2.0348331994781206E-8</v>
      </c>
      <c r="BT78" s="520">
        <f t="shared" si="110"/>
        <v>5.3113715738093197E-2</v>
      </c>
      <c r="BU78" s="672"/>
      <c r="BV78" s="261" t="s">
        <v>389</v>
      </c>
      <c r="BW78" s="132" t="s">
        <v>426</v>
      </c>
      <c r="BX78" s="132" t="s">
        <v>333</v>
      </c>
      <c r="BY78" s="132" t="e">
        <f t="shared" si="97"/>
        <v>#VALUE!</v>
      </c>
      <c r="BZ78" s="520" t="e">
        <f t="shared" si="111"/>
        <v>#VALUE!</v>
      </c>
      <c r="CA78" s="672"/>
      <c r="CB78" s="261" t="s">
        <v>395</v>
      </c>
      <c r="CC78" s="132" t="s">
        <v>426</v>
      </c>
      <c r="CD78" s="132" t="s">
        <v>333</v>
      </c>
      <c r="CE78" s="132" t="e">
        <f t="shared" si="98"/>
        <v>#VALUE!</v>
      </c>
      <c r="CF78" s="520" t="e">
        <f t="shared" si="112"/>
        <v>#VALUE!</v>
      </c>
      <c r="CG78" s="672"/>
      <c r="CH78" s="261" t="s">
        <v>402</v>
      </c>
      <c r="CI78" s="132" t="s">
        <v>426</v>
      </c>
      <c r="CJ78" s="132">
        <v>31.424108505249023</v>
      </c>
      <c r="CK78" s="132">
        <f t="shared" si="99"/>
        <v>3.4705695568737873E-10</v>
      </c>
      <c r="CL78" s="520">
        <f t="shared" si="113"/>
        <v>1.6157411664031046E-3</v>
      </c>
      <c r="CM78" s="672"/>
    </row>
    <row r="79" spans="2:91" x14ac:dyDescent="0.25">
      <c r="B79" s="479" t="s">
        <v>350</v>
      </c>
      <c r="C79" s="132" t="s">
        <v>340</v>
      </c>
      <c r="D79" s="132">
        <v>19.917169570922852</v>
      </c>
      <c r="E79" s="122">
        <f t="shared" si="85"/>
        <v>1.010030597697977E-6</v>
      </c>
      <c r="F79">
        <f t="shared" si="100"/>
        <v>8.6299340428902364E-4</v>
      </c>
      <c r="G79" s="789">
        <f>AVERAGE(F79:F80)</f>
        <v>2.5513712128770413E-3</v>
      </c>
      <c r="H79" s="479">
        <v>28</v>
      </c>
      <c r="I79" s="132" t="s">
        <v>340</v>
      </c>
      <c r="J79" s="132" t="s">
        <v>333</v>
      </c>
      <c r="K79" s="122" t="e">
        <f t="shared" si="86"/>
        <v>#VALUE!</v>
      </c>
      <c r="L79" t="e">
        <f t="shared" si="102"/>
        <v>#VALUE!</v>
      </c>
      <c r="M79" s="789" t="e">
        <f>AVERAGE(L79:L80)</f>
        <v>#VALUE!</v>
      </c>
      <c r="N79" s="490">
        <v>5</v>
      </c>
      <c r="O79" s="79" t="s">
        <v>340</v>
      </c>
      <c r="P79" s="79">
        <v>19.071510314941406</v>
      </c>
      <c r="Q79" s="79">
        <f t="shared" si="87"/>
        <v>1.8151116012939728E-6</v>
      </c>
      <c r="R79" s="79">
        <f t="shared" si="103"/>
        <v>2.2328995959686626</v>
      </c>
      <c r="S79" s="789">
        <f>AVERAGE(R79:R80)</f>
        <v>2.002243548986399</v>
      </c>
      <c r="T79" s="80" t="s">
        <v>359</v>
      </c>
      <c r="U79" s="79" t="s">
        <v>340</v>
      </c>
      <c r="V79" s="79" t="s">
        <v>333</v>
      </c>
      <c r="W79" s="79" t="e">
        <f t="shared" si="88"/>
        <v>#VALUE!</v>
      </c>
      <c r="X79" s="79" t="e">
        <f t="shared" si="101"/>
        <v>#VALUE!</v>
      </c>
      <c r="Y79" s="789" t="e">
        <f>AVERAGE(X79:X80)</f>
        <v>#VALUE!</v>
      </c>
      <c r="Z79" s="261" t="s">
        <v>387</v>
      </c>
      <c r="AA79" s="132" t="s">
        <v>340</v>
      </c>
      <c r="AB79" s="132">
        <v>23.914119720458984</v>
      </c>
      <c r="AC79" s="132">
        <f t="shared" si="89"/>
        <v>6.3260503504777159E-8</v>
      </c>
      <c r="AD79" s="520">
        <f>AC79/$AC$7</f>
        <v>0.59211367369133039</v>
      </c>
      <c r="AE79" s="672">
        <f>AVERAGE(AD79:AD80)</f>
        <v>0.58109257177867324</v>
      </c>
      <c r="AF79" s="261" t="s">
        <v>393</v>
      </c>
      <c r="AG79" s="132" t="s">
        <v>340</v>
      </c>
      <c r="AH79" s="132">
        <v>31.969270706176758</v>
      </c>
      <c r="AI79" s="132">
        <f t="shared" si="90"/>
        <v>2.3784311160844642E-10</v>
      </c>
      <c r="AJ79" s="520">
        <f t="shared" si="104"/>
        <v>3.4707197868135281E-3</v>
      </c>
      <c r="AK79" s="672">
        <f>AVERAGE(AJ79:AJ80)</f>
        <v>3.4237740747111818E-3</v>
      </c>
      <c r="AL79" s="261" t="s">
        <v>400</v>
      </c>
      <c r="AM79" s="132" t="s">
        <v>340</v>
      </c>
      <c r="AN79" s="132">
        <v>21.898067474365234</v>
      </c>
      <c r="AO79" s="132">
        <f t="shared" si="91"/>
        <v>2.5587322510292819E-7</v>
      </c>
      <c r="AP79" s="520">
        <f t="shared" si="105"/>
        <v>2.8344839304177376</v>
      </c>
      <c r="AQ79" s="672">
        <f>AVERAGE(AP79:AP80)</f>
        <v>3.0129452676682051</v>
      </c>
      <c r="AR79" s="261" t="s">
        <v>406</v>
      </c>
      <c r="AS79" s="132" t="s">
        <v>340</v>
      </c>
      <c r="AT79" s="122">
        <v>20.639799118041992</v>
      </c>
      <c r="AU79" s="132">
        <f t="shared" si="92"/>
        <v>6.1207037697124698E-7</v>
      </c>
      <c r="AV79" s="79">
        <f t="shared" si="106"/>
        <v>12.037375143608022</v>
      </c>
      <c r="AW79" s="789">
        <f>AVERAGE(AV79:AV80)</f>
        <v>7.581499376671065</v>
      </c>
      <c r="AX79" s="261" t="s">
        <v>350</v>
      </c>
      <c r="AY79" s="132" t="s">
        <v>426</v>
      </c>
      <c r="AZ79" s="132">
        <v>32.640289306640625</v>
      </c>
      <c r="BA79" s="132">
        <f t="shared" si="93"/>
        <v>1.4938048032331096E-10</v>
      </c>
      <c r="BB79" s="520">
        <f t="shared" si="107"/>
        <v>5.7066953234052083E-4</v>
      </c>
      <c r="BC79" s="672">
        <f>AVERAGE(BB79:BB80)</f>
        <v>2.9957461494002841E-4</v>
      </c>
      <c r="BD79" s="261" t="s">
        <v>430</v>
      </c>
      <c r="BE79" s="132" t="s">
        <v>426</v>
      </c>
      <c r="BF79" s="132">
        <v>30.173213958740234</v>
      </c>
      <c r="BG79" s="132">
        <f t="shared" si="94"/>
        <v>8.2595718001011369E-10</v>
      </c>
      <c r="BH79" s="520">
        <f t="shared" si="108"/>
        <v>1.4405037267666331E-3</v>
      </c>
      <c r="BI79" s="672">
        <f>AVERAGE(BH79:BH80)</f>
        <v>1.5609216403757887E-3</v>
      </c>
      <c r="BJ79" s="261" t="s">
        <v>440</v>
      </c>
      <c r="BK79" s="132" t="s">
        <v>426</v>
      </c>
      <c r="BL79" s="132" t="s">
        <v>333</v>
      </c>
      <c r="BM79" s="132" t="e">
        <f t="shared" si="95"/>
        <v>#VALUE!</v>
      </c>
      <c r="BN79" s="520" t="e">
        <f t="shared" si="109"/>
        <v>#VALUE!</v>
      </c>
      <c r="BO79" s="672">
        <f>AVERAGE(BN80)</f>
        <v>2.6429855847262464E-4</v>
      </c>
      <c r="BP79" s="261" t="s">
        <v>359</v>
      </c>
      <c r="BQ79" s="132" t="s">
        <v>426</v>
      </c>
      <c r="BR79" s="132">
        <v>35.900665283203125</v>
      </c>
      <c r="BS79" s="132">
        <f t="shared" si="96"/>
        <v>1.5589166137838199E-11</v>
      </c>
      <c r="BT79" s="520">
        <f t="shared" si="110"/>
        <v>5.0650165677361754E-5</v>
      </c>
      <c r="BU79" s="672">
        <f>AVERAGE(BT79:BT80)</f>
        <v>1.582798960908802E-2</v>
      </c>
      <c r="BV79" s="261" t="s">
        <v>390</v>
      </c>
      <c r="BW79" s="132" t="s">
        <v>426</v>
      </c>
      <c r="BX79" s="132" t="s">
        <v>333</v>
      </c>
      <c r="BY79" s="132" t="e">
        <f t="shared" si="97"/>
        <v>#VALUE!</v>
      </c>
      <c r="BZ79" s="520" t="e">
        <f t="shared" si="111"/>
        <v>#VALUE!</v>
      </c>
      <c r="CA79" s="672" t="e">
        <f>AVERAGE(BZ80)</f>
        <v>#VALUE!</v>
      </c>
      <c r="CB79" s="261" t="s">
        <v>396</v>
      </c>
      <c r="CC79" s="132" t="s">
        <v>426</v>
      </c>
      <c r="CD79" s="132" t="s">
        <v>333</v>
      </c>
      <c r="CE79" s="132" t="e">
        <f t="shared" si="98"/>
        <v>#VALUE!</v>
      </c>
      <c r="CF79" s="520" t="e">
        <f t="shared" si="112"/>
        <v>#VALUE!</v>
      </c>
      <c r="CG79" s="672" t="e">
        <f>AVERAGE(CF80)</f>
        <v>#VALUE!</v>
      </c>
      <c r="CH79" s="261" t="s">
        <v>403</v>
      </c>
      <c r="CI79" s="132" t="s">
        <v>426</v>
      </c>
      <c r="CJ79" s="132">
        <v>31.902864456176758</v>
      </c>
      <c r="CK79" s="132">
        <f t="shared" si="99"/>
        <v>2.4904673418499023E-10</v>
      </c>
      <c r="CL79" s="520">
        <f t="shared" si="113"/>
        <v>1.3830284164155304E-2</v>
      </c>
      <c r="CM79" s="672">
        <f>AVERAGE(CL79:CL80)</f>
        <v>3.0349983019448766E-2</v>
      </c>
    </row>
    <row r="80" spans="2:91" x14ac:dyDescent="0.25">
      <c r="B80" s="479" t="s">
        <v>350</v>
      </c>
      <c r="C80" s="132" t="s">
        <v>340</v>
      </c>
      <c r="D80" s="132">
        <v>19.886692047119141</v>
      </c>
      <c r="E80" s="122">
        <f t="shared" si="85"/>
        <v>1.0315948830855382E-6</v>
      </c>
      <c r="F80">
        <f t="shared" si="100"/>
        <v>4.239749021465059E-3</v>
      </c>
      <c r="G80" s="789"/>
      <c r="H80" s="479">
        <v>28</v>
      </c>
      <c r="I80" s="132" t="s">
        <v>340</v>
      </c>
      <c r="J80" s="132" t="s">
        <v>333</v>
      </c>
      <c r="K80" s="122" t="e">
        <f t="shared" si="86"/>
        <v>#VALUE!</v>
      </c>
      <c r="L80" t="e">
        <f t="shared" si="102"/>
        <v>#VALUE!</v>
      </c>
      <c r="M80" s="789"/>
      <c r="N80" s="490">
        <v>5</v>
      </c>
      <c r="O80" s="79" t="s">
        <v>340</v>
      </c>
      <c r="P80" s="79">
        <v>19.709501266479492</v>
      </c>
      <c r="Q80" s="79">
        <f t="shared" si="87"/>
        <v>1.1664037821620422E-6</v>
      </c>
      <c r="R80" s="79">
        <f t="shared" si="103"/>
        <v>1.7715875020041354</v>
      </c>
      <c r="S80" s="789"/>
      <c r="T80" s="257" t="s">
        <v>359</v>
      </c>
      <c r="U80" s="138" t="s">
        <v>340</v>
      </c>
      <c r="V80" s="138" t="s">
        <v>333</v>
      </c>
      <c r="W80" s="138" t="e">
        <f t="shared" si="88"/>
        <v>#VALUE!</v>
      </c>
      <c r="X80" s="138" t="e">
        <f t="shared" si="101"/>
        <v>#VALUE!</v>
      </c>
      <c r="Y80" s="794"/>
      <c r="Z80" s="261" t="s">
        <v>387</v>
      </c>
      <c r="AA80" s="132" t="s">
        <v>340</v>
      </c>
      <c r="AB80" s="132">
        <v>23.709115982055664</v>
      </c>
      <c r="AC80" s="132">
        <f t="shared" si="89"/>
        <v>7.2919707635526507E-8</v>
      </c>
      <c r="AD80" s="520">
        <f>AC80/$AC$8</f>
        <v>0.57007146986601598</v>
      </c>
      <c r="AE80" s="672"/>
      <c r="AF80" s="261" t="s">
        <v>393</v>
      </c>
      <c r="AG80" s="132" t="s">
        <v>340</v>
      </c>
      <c r="AH80" s="132">
        <v>32.347255706787109</v>
      </c>
      <c r="AI80" s="132">
        <f t="shared" si="90"/>
        <v>1.8302303585665927E-10</v>
      </c>
      <c r="AJ80" s="520">
        <f t="shared" si="104"/>
        <v>3.3768283626088354E-3</v>
      </c>
      <c r="AK80" s="672"/>
      <c r="AL80" s="261" t="s">
        <v>400</v>
      </c>
      <c r="AM80" s="132" t="s">
        <v>340</v>
      </c>
      <c r="AN80" s="132">
        <v>21.851570129394531</v>
      </c>
      <c r="AO80" s="132">
        <f t="shared" si="91"/>
        <v>2.6425422438667342E-7</v>
      </c>
      <c r="AP80" s="520">
        <f t="shared" si="105"/>
        <v>3.1914066049186722</v>
      </c>
      <c r="AQ80" s="672"/>
      <c r="AR80" s="261" t="s">
        <v>406</v>
      </c>
      <c r="AS80" s="132" t="s">
        <v>340</v>
      </c>
      <c r="AT80" s="122">
        <v>21.257150650024414</v>
      </c>
      <c r="AU80" s="132">
        <f t="shared" si="92"/>
        <v>3.9898818189641832E-7</v>
      </c>
      <c r="AV80" s="79">
        <f t="shared" si="106"/>
        <v>3.1256236097341081</v>
      </c>
      <c r="AW80" s="789"/>
      <c r="AX80" s="261" t="s">
        <v>350</v>
      </c>
      <c r="AY80" s="132" t="s">
        <v>426</v>
      </c>
      <c r="AZ80" s="132">
        <v>37.124660491943359</v>
      </c>
      <c r="BA80" s="132">
        <f t="shared" si="93"/>
        <v>6.6736528700187321E-12</v>
      </c>
      <c r="BB80" s="520">
        <f t="shared" si="107"/>
        <v>2.8479697539536029E-5</v>
      </c>
      <c r="BC80" s="672"/>
      <c r="BD80" s="261" t="s">
        <v>430</v>
      </c>
      <c r="BE80" s="132" t="s">
        <v>426</v>
      </c>
      <c r="BF80" s="132">
        <v>31.414419174194336</v>
      </c>
      <c r="BG80" s="132">
        <f t="shared" si="94"/>
        <v>3.4939568099109626E-10</v>
      </c>
      <c r="BH80" s="520">
        <f t="shared" si="108"/>
        <v>1.6813395539849443E-3</v>
      </c>
      <c r="BI80" s="672"/>
      <c r="BJ80" s="261" t="s">
        <v>440</v>
      </c>
      <c r="BK80" s="132" t="s">
        <v>426</v>
      </c>
      <c r="BL80" s="132">
        <v>34.134845733642578</v>
      </c>
      <c r="BM80" s="132">
        <f t="shared" si="95"/>
        <v>5.301362928455799E-11</v>
      </c>
      <c r="BN80" s="520">
        <f t="shared" si="109"/>
        <v>2.6429855847262464E-4</v>
      </c>
      <c r="BO80" s="672"/>
      <c r="BP80" s="261" t="s">
        <v>359</v>
      </c>
      <c r="BQ80" s="132" t="s">
        <v>426</v>
      </c>
      <c r="BR80" s="132">
        <v>27.307554244995117</v>
      </c>
      <c r="BS80" s="132">
        <f t="shared" si="96"/>
        <v>6.0201465569956317E-9</v>
      </c>
      <c r="BT80" s="520">
        <f t="shared" si="110"/>
        <v>3.160532905249868E-2</v>
      </c>
      <c r="BU80" s="672"/>
      <c r="BV80" s="261" t="s">
        <v>390</v>
      </c>
      <c r="BW80" s="132" t="s">
        <v>426</v>
      </c>
      <c r="BX80" s="132" t="s">
        <v>333</v>
      </c>
      <c r="BY80" s="132" t="e">
        <f t="shared" si="97"/>
        <v>#VALUE!</v>
      </c>
      <c r="BZ80" s="520" t="e">
        <f t="shared" si="111"/>
        <v>#VALUE!</v>
      </c>
      <c r="CA80" s="672"/>
      <c r="CB80" s="261" t="s">
        <v>396</v>
      </c>
      <c r="CC80" s="132" t="s">
        <v>426</v>
      </c>
      <c r="CD80" s="132" t="s">
        <v>333</v>
      </c>
      <c r="CE80" s="132" t="e">
        <f t="shared" si="98"/>
        <v>#VALUE!</v>
      </c>
      <c r="CF80" s="520" t="e">
        <f t="shared" si="112"/>
        <v>#VALUE!</v>
      </c>
      <c r="CG80" s="672"/>
      <c r="CH80" s="261" t="s">
        <v>403</v>
      </c>
      <c r="CI80" s="132" t="s">
        <v>426</v>
      </c>
      <c r="CJ80" s="132">
        <v>30.610048294067383</v>
      </c>
      <c r="CK80" s="132">
        <f t="shared" si="99"/>
        <v>6.1017905329763395E-10</v>
      </c>
      <c r="CL80" s="520">
        <f t="shared" si="113"/>
        <v>4.6869681874742226E-2</v>
      </c>
      <c r="CM80" s="672"/>
    </row>
    <row r="81" spans="2:91" x14ac:dyDescent="0.25">
      <c r="B81" s="479" t="s">
        <v>351</v>
      </c>
      <c r="C81" s="132" t="s">
        <v>340</v>
      </c>
      <c r="D81" s="132">
        <v>19.471601486206055</v>
      </c>
      <c r="E81" s="122">
        <f t="shared" si="85"/>
        <v>1.375510433800208E-6</v>
      </c>
      <c r="F81">
        <f t="shared" si="100"/>
        <v>1.262103194896462E-2</v>
      </c>
      <c r="G81" s="789">
        <f>AVERAGE(F81:F82)</f>
        <v>1.1134584939596112E-2</v>
      </c>
      <c r="H81" s="479" t="s">
        <v>334</v>
      </c>
      <c r="I81" s="132" t="s">
        <v>340</v>
      </c>
      <c r="J81" s="132">
        <v>7.3286337852478027</v>
      </c>
      <c r="K81" s="122">
        <f t="shared" si="86"/>
        <v>6.2210172188086055E-3</v>
      </c>
      <c r="L81">
        <f t="shared" si="102"/>
        <v>1104.7916322056224</v>
      </c>
      <c r="M81" s="789">
        <f>AVERAGE(L81:L82)</f>
        <v>1567.0531188872678</v>
      </c>
      <c r="N81" s="490">
        <v>18</v>
      </c>
      <c r="O81" s="79" t="s">
        <v>340</v>
      </c>
      <c r="P81" s="79">
        <v>19.048986434936523</v>
      </c>
      <c r="Q81" s="79">
        <f t="shared" si="87"/>
        <v>1.8436721529086641E-6</v>
      </c>
      <c r="R81" s="79">
        <f t="shared" si="103"/>
        <v>1.8224521882728435</v>
      </c>
      <c r="S81" s="789">
        <f>AVERAGE(R81:R82)</f>
        <v>1.773525388695004</v>
      </c>
      <c r="T81" s="496" t="s">
        <v>360</v>
      </c>
      <c r="U81" s="274" t="s">
        <v>360</v>
      </c>
      <c r="V81" s="274" t="s">
        <v>360</v>
      </c>
      <c r="W81" s="274"/>
      <c r="X81" s="274"/>
      <c r="Y81" s="484"/>
      <c r="Z81" s="261" t="s">
        <v>388</v>
      </c>
      <c r="AA81" s="132" t="s">
        <v>340</v>
      </c>
      <c r="AB81" s="132">
        <v>33.541728973388672</v>
      </c>
      <c r="AC81" s="132">
        <f t="shared" si="89"/>
        <v>7.9971174174107717E-11</v>
      </c>
      <c r="AD81" s="520">
        <f>AC81/$AC$9</f>
        <v>3.7465522360203025E-3</v>
      </c>
      <c r="AE81" s="672">
        <f>AVERAGE(AD81:AD82)</f>
        <v>6.1264935032486513E-3</v>
      </c>
      <c r="AF81" s="261" t="s">
        <v>394</v>
      </c>
      <c r="AG81" s="132" t="s">
        <v>340</v>
      </c>
      <c r="AH81" s="132">
        <v>34.921131134033203</v>
      </c>
      <c r="AI81" s="132">
        <f t="shared" si="90"/>
        <v>3.0739163585166271E-11</v>
      </c>
      <c r="AJ81" s="520">
        <f t="shared" si="104"/>
        <v>1.2510168795961849E-3</v>
      </c>
      <c r="AK81" s="672">
        <f>AVERAGE(AJ81:AJ82)</f>
        <v>1.8511080645125916E-3</v>
      </c>
      <c r="AL81" s="261" t="s">
        <v>401</v>
      </c>
      <c r="AM81" s="132" t="s">
        <v>340</v>
      </c>
      <c r="AN81" s="132">
        <v>30.250839233398438</v>
      </c>
      <c r="AO81" s="132">
        <f t="shared" si="91"/>
        <v>7.8269038139262644E-10</v>
      </c>
      <c r="AP81" s="520">
        <f t="shared" si="105"/>
        <v>2.9735643293207759E-2</v>
      </c>
      <c r="AQ81" s="672">
        <f>AVERAGE(AP81:AP82)</f>
        <v>4.2985066197412318E-2</v>
      </c>
      <c r="AR81" s="261" t="s">
        <v>407</v>
      </c>
      <c r="AS81" s="132" t="s">
        <v>340</v>
      </c>
      <c r="AT81" s="122">
        <v>21.396650314331055</v>
      </c>
      <c r="AU81" s="132">
        <f t="shared" si="92"/>
        <v>3.6221501447604029E-7</v>
      </c>
      <c r="AV81" s="79">
        <f t="shared" si="106"/>
        <v>1.8114695667075702</v>
      </c>
      <c r="AW81" s="789">
        <f>AVERAGE(AV81:AV82)</f>
        <v>2.5111274115040239</v>
      </c>
      <c r="AX81" s="261" t="s">
        <v>351</v>
      </c>
      <c r="AY81" s="132" t="s">
        <v>426</v>
      </c>
      <c r="AZ81" s="132">
        <v>34.498340606689453</v>
      </c>
      <c r="BA81" s="132">
        <f t="shared" si="93"/>
        <v>4.1206400259919867E-11</v>
      </c>
      <c r="BB81" s="520">
        <f t="shared" si="107"/>
        <v>2.8605657078684013E-4</v>
      </c>
      <c r="BC81" s="672">
        <f>AVERAGE(BB81:BB82)</f>
        <v>7.825623956960252E-4</v>
      </c>
      <c r="BD81" s="261" t="s">
        <v>334</v>
      </c>
      <c r="BE81" s="132" t="s">
        <v>426</v>
      </c>
      <c r="BF81" s="132" t="s">
        <v>333</v>
      </c>
      <c r="BG81" s="132" t="e">
        <f t="shared" si="94"/>
        <v>#VALUE!</v>
      </c>
      <c r="BH81" s="520" t="e">
        <f t="shared" si="108"/>
        <v>#VALUE!</v>
      </c>
      <c r="BI81" s="672">
        <f>BH82</f>
        <v>4.7092356540080343E-3</v>
      </c>
      <c r="BJ81" s="261" t="s">
        <v>441</v>
      </c>
      <c r="BK81" s="132" t="s">
        <v>426</v>
      </c>
      <c r="BL81" s="132">
        <v>33.381576538085938</v>
      </c>
      <c r="BM81" s="132">
        <f t="shared" si="95"/>
        <v>8.9360205630760616E-11</v>
      </c>
      <c r="BN81" s="520">
        <f t="shared" si="109"/>
        <v>1.8383027481336521E-4</v>
      </c>
      <c r="BO81" s="672">
        <f>AVERAGE(BN81:BN82)</f>
        <v>2.8555514453242368E-4</v>
      </c>
      <c r="BP81" s="261" t="s">
        <v>386</v>
      </c>
      <c r="BQ81" s="132" t="s">
        <v>426</v>
      </c>
      <c r="BR81" s="132" t="s">
        <v>333</v>
      </c>
      <c r="BS81" s="132" t="e">
        <f t="shared" si="96"/>
        <v>#VALUE!</v>
      </c>
      <c r="BT81" s="520" t="e">
        <f t="shared" si="110"/>
        <v>#VALUE!</v>
      </c>
      <c r="BU81" s="672" t="e">
        <f>BT82</f>
        <v>#VALUE!</v>
      </c>
      <c r="BV81" s="261" t="s">
        <v>392</v>
      </c>
      <c r="BW81" s="132" t="s">
        <v>426</v>
      </c>
      <c r="BX81" s="132">
        <v>35.632888793945313</v>
      </c>
      <c r="BY81" s="132">
        <f t="shared" si="97"/>
        <v>1.8768589724001182E-11</v>
      </c>
      <c r="BZ81" s="520">
        <f t="shared" si="111"/>
        <v>1.8816336297986679E-5</v>
      </c>
      <c r="CA81" s="672">
        <f>AVERAGE(BZ81:BZ82)</f>
        <v>2.7198755829754781E-5</v>
      </c>
      <c r="CB81" s="261" t="s">
        <v>399</v>
      </c>
      <c r="CC81" s="132" t="s">
        <v>426</v>
      </c>
      <c r="CD81" s="132">
        <v>32.756324768066406</v>
      </c>
      <c r="CE81" s="132">
        <f t="shared" si="98"/>
        <v>1.3783632871050553E-10</v>
      </c>
      <c r="CF81" s="520">
        <f t="shared" si="112"/>
        <v>1.253240150153287E-4</v>
      </c>
      <c r="CG81" s="672">
        <f>AVERAGE(CF81:CF82)</f>
        <v>8.6301762860366998E-5</v>
      </c>
      <c r="CH81" s="261" t="s">
        <v>405</v>
      </c>
      <c r="CI81" s="132" t="s">
        <v>426</v>
      </c>
      <c r="CJ81" s="132">
        <v>28.839199066162109</v>
      </c>
      <c r="CK81" s="132">
        <f t="shared" si="99"/>
        <v>2.0822651479987062E-9</v>
      </c>
      <c r="CL81" s="520">
        <f t="shared" si="113"/>
        <v>1.8539229321603838E-2</v>
      </c>
      <c r="CM81" s="672">
        <f>AVERAGE(CL81:CL82)</f>
        <v>1.0865090372968997E-2</v>
      </c>
    </row>
    <row r="82" spans="2:91" x14ac:dyDescent="0.25">
      <c r="B82" s="479" t="s">
        <v>351</v>
      </c>
      <c r="C82" s="132" t="s">
        <v>340</v>
      </c>
      <c r="D82" s="132">
        <v>19.235162734985352</v>
      </c>
      <c r="E82" s="122">
        <f t="shared" si="85"/>
        <v>1.6204627240639695E-6</v>
      </c>
      <c r="F82">
        <f t="shared" si="100"/>
        <v>9.6481379302276044E-3</v>
      </c>
      <c r="G82" s="789"/>
      <c r="H82" s="479" t="s">
        <v>334</v>
      </c>
      <c r="I82" s="132" t="s">
        <v>340</v>
      </c>
      <c r="J82" s="132">
        <v>6.2545332908630371</v>
      </c>
      <c r="K82" s="122">
        <f t="shared" si="86"/>
        <v>1.3097785402897992E-2</v>
      </c>
      <c r="L82">
        <f t="shared" si="102"/>
        <v>2029.3146055689135</v>
      </c>
      <c r="M82" s="789"/>
      <c r="N82" s="490">
        <v>18</v>
      </c>
      <c r="O82" s="79" t="s">
        <v>340</v>
      </c>
      <c r="P82" s="79">
        <v>19.099601745605469</v>
      </c>
      <c r="Q82" s="79">
        <f t="shared" si="87"/>
        <v>1.7801105305309516E-6</v>
      </c>
      <c r="R82" s="79">
        <f t="shared" si="103"/>
        <v>1.7245985891171642</v>
      </c>
      <c r="S82" s="789"/>
      <c r="T82" s="496" t="s">
        <v>360</v>
      </c>
      <c r="U82" s="274" t="s">
        <v>360</v>
      </c>
      <c r="V82" s="274" t="s">
        <v>360</v>
      </c>
      <c r="W82" s="274"/>
      <c r="X82" s="274"/>
      <c r="Y82" s="484"/>
      <c r="Z82" s="261" t="s">
        <v>388</v>
      </c>
      <c r="AA82" s="132" t="s">
        <v>340</v>
      </c>
      <c r="AB82" s="132">
        <v>32.440025329589844</v>
      </c>
      <c r="AC82" s="132">
        <f t="shared" si="89"/>
        <v>1.7162451212951463E-10</v>
      </c>
      <c r="AD82" s="520">
        <f>AC82/$AC$10</f>
        <v>8.5064347704770001E-3</v>
      </c>
      <c r="AE82" s="672"/>
      <c r="AF82" s="261" t="s">
        <v>394</v>
      </c>
      <c r="AG82" s="132" t="s">
        <v>340</v>
      </c>
      <c r="AH82" s="132">
        <v>34.712810516357422</v>
      </c>
      <c r="AI82" s="132">
        <f t="shared" si="90"/>
        <v>3.5514262529945583E-11</v>
      </c>
      <c r="AJ82" s="520">
        <f t="shared" si="104"/>
        <v>2.4511992494289985E-3</v>
      </c>
      <c r="AK82" s="672"/>
      <c r="AL82" s="261" t="s">
        <v>401</v>
      </c>
      <c r="AM82" s="132" t="s">
        <v>340</v>
      </c>
      <c r="AN82" s="132">
        <v>30.040016174316406</v>
      </c>
      <c r="AO82" s="132">
        <f t="shared" si="91"/>
        <v>9.0584535418260299E-10</v>
      </c>
      <c r="AP82" s="520">
        <f t="shared" si="105"/>
        <v>5.623448910161688E-2</v>
      </c>
      <c r="AQ82" s="672"/>
      <c r="AR82" s="261" t="s">
        <v>407</v>
      </c>
      <c r="AS82" s="132" t="s">
        <v>340</v>
      </c>
      <c r="AT82" s="122">
        <v>21.239574432373047</v>
      </c>
      <c r="AU82" s="132">
        <f t="shared" si="92"/>
        <v>4.0387874745609256E-7</v>
      </c>
      <c r="AV82" s="79">
        <f t="shared" si="106"/>
        <v>3.2107852563004777</v>
      </c>
      <c r="AW82" s="789"/>
      <c r="AX82" s="261" t="s">
        <v>351</v>
      </c>
      <c r="AY82" s="132" t="s">
        <v>426</v>
      </c>
      <c r="AZ82" s="132">
        <v>31.513387680053711</v>
      </c>
      <c r="BA82" s="132">
        <f t="shared" si="93"/>
        <v>3.2623086174778934E-10</v>
      </c>
      <c r="BB82" s="520">
        <f t="shared" si="107"/>
        <v>1.2790682206052103E-3</v>
      </c>
      <c r="BC82" s="672"/>
      <c r="BD82" s="261" t="s">
        <v>334</v>
      </c>
      <c r="BE82" s="132" t="s">
        <v>426</v>
      </c>
      <c r="BF82" s="132">
        <v>30.180429458618164</v>
      </c>
      <c r="BG82" s="132">
        <f t="shared" si="94"/>
        <v>8.2183654802533569E-10</v>
      </c>
      <c r="BH82" s="520">
        <f t="shared" si="108"/>
        <v>4.7092356540080343E-3</v>
      </c>
      <c r="BI82" s="672"/>
      <c r="BJ82" s="261" t="s">
        <v>441</v>
      </c>
      <c r="BK82" s="132" t="s">
        <v>426</v>
      </c>
      <c r="BL82" s="132">
        <v>33.269416809082031</v>
      </c>
      <c r="BM82" s="132">
        <f t="shared" si="95"/>
        <v>9.6584536990143141E-11</v>
      </c>
      <c r="BN82" s="520">
        <f t="shared" si="109"/>
        <v>3.8728001425148215E-4</v>
      </c>
      <c r="BO82" s="672"/>
      <c r="BP82" s="261" t="s">
        <v>386</v>
      </c>
      <c r="BQ82" s="132" t="s">
        <v>426</v>
      </c>
      <c r="BR82" s="132" t="s">
        <v>333</v>
      </c>
      <c r="BS82" s="132" t="e">
        <f t="shared" si="96"/>
        <v>#VALUE!</v>
      </c>
      <c r="BT82" s="520" t="e">
        <f t="shared" si="110"/>
        <v>#VALUE!</v>
      </c>
      <c r="BU82" s="672"/>
      <c r="BV82" s="261" t="s">
        <v>392</v>
      </c>
      <c r="BW82" s="132" t="s">
        <v>426</v>
      </c>
      <c r="BX82" s="132">
        <v>34.471092224121094</v>
      </c>
      <c r="BY82" s="132">
        <f t="shared" si="97"/>
        <v>4.1992067439506889E-11</v>
      </c>
      <c r="BZ82" s="520">
        <f t="shared" si="111"/>
        <v>3.5581175361522887E-5</v>
      </c>
      <c r="CA82" s="672"/>
      <c r="CB82" s="261" t="s">
        <v>399</v>
      </c>
      <c r="CC82" s="132" t="s">
        <v>426</v>
      </c>
      <c r="CD82" s="132">
        <v>34.550769805908203</v>
      </c>
      <c r="CE82" s="132">
        <f t="shared" si="98"/>
        <v>3.9735795796526953E-11</v>
      </c>
      <c r="CF82" s="520">
        <f t="shared" si="112"/>
        <v>4.7279510705405292E-5</v>
      </c>
      <c r="CG82" s="672"/>
      <c r="CH82" s="261" t="s">
        <v>405</v>
      </c>
      <c r="CI82" s="132" t="s">
        <v>426</v>
      </c>
      <c r="CJ82" s="132">
        <v>31.813510894775391</v>
      </c>
      <c r="CK82" s="132">
        <f t="shared" si="99"/>
        <v>2.6495916916755268E-10</v>
      </c>
      <c r="CL82" s="520">
        <f t="shared" si="113"/>
        <v>3.1909514243341538E-3</v>
      </c>
      <c r="CM82" s="672"/>
    </row>
    <row r="83" spans="2:91" x14ac:dyDescent="0.25">
      <c r="B83" s="479" t="s">
        <v>352</v>
      </c>
      <c r="C83" s="132" t="s">
        <v>340</v>
      </c>
      <c r="D83" s="132">
        <v>19.869319915771484</v>
      </c>
      <c r="E83" s="122">
        <f t="shared" si="85"/>
        <v>1.044091864811455E-6</v>
      </c>
      <c r="F83">
        <f t="shared" si="100"/>
        <v>3.1566014905316029E-3</v>
      </c>
      <c r="G83" s="789">
        <f>AVERAGE(F83:F84)</f>
        <v>6.9418941116763683E-3</v>
      </c>
      <c r="H83" s="479">
        <v>19</v>
      </c>
      <c r="I83" s="132" t="s">
        <v>340</v>
      </c>
      <c r="J83" s="132" t="s">
        <v>333</v>
      </c>
      <c r="K83" s="122" t="e">
        <f t="shared" si="86"/>
        <v>#VALUE!</v>
      </c>
      <c r="L83" t="e">
        <f t="shared" si="102"/>
        <v>#VALUE!</v>
      </c>
      <c r="M83" s="789" t="e">
        <f>AVERAGE(L83:L84)</f>
        <v>#VALUE!</v>
      </c>
      <c r="N83" s="490">
        <v>4</v>
      </c>
      <c r="O83" s="79" t="s">
        <v>340</v>
      </c>
      <c r="P83" s="79">
        <v>18.953834533691406</v>
      </c>
      <c r="Q83" s="79">
        <f t="shared" si="87"/>
        <v>1.9693697941746883E-6</v>
      </c>
      <c r="R83" s="79">
        <f t="shared" si="103"/>
        <v>0.84052518049828395</v>
      </c>
      <c r="S83" s="789">
        <f>AVERAGE(R83:R84)</f>
        <v>1.5185268992255223</v>
      </c>
      <c r="T83" s="496" t="s">
        <v>360</v>
      </c>
      <c r="U83" s="274" t="s">
        <v>360</v>
      </c>
      <c r="V83" s="274" t="s">
        <v>360</v>
      </c>
      <c r="W83" s="274"/>
      <c r="X83" s="274"/>
      <c r="Y83" s="484"/>
      <c r="Z83" s="261" t="s">
        <v>389</v>
      </c>
      <c r="AA83" s="132" t="s">
        <v>340</v>
      </c>
      <c r="AB83" s="132">
        <v>32.535541534423828</v>
      </c>
      <c r="AC83" s="132">
        <f t="shared" si="89"/>
        <v>1.606297831146295E-10</v>
      </c>
      <c r="AD83" s="520">
        <f>AC83/$AC$11</f>
        <v>1.2012385617720493E-2</v>
      </c>
      <c r="AE83" s="672">
        <f>AVERAGE(AD83:AD84)</f>
        <v>1.0383400432010949E-2</v>
      </c>
      <c r="AF83" s="261" t="s">
        <v>395</v>
      </c>
      <c r="AG83" s="132" t="s">
        <v>340</v>
      </c>
      <c r="AH83" s="132">
        <v>33.363506317138672</v>
      </c>
      <c r="AI83" s="132">
        <f t="shared" si="90"/>
        <v>9.0486509980836426E-11</v>
      </c>
      <c r="AJ83" s="520">
        <f t="shared" si="104"/>
        <v>2.8768967735681322E-3</v>
      </c>
      <c r="AK83" s="672">
        <f>AVERAGE(AJ83:AJ84)</f>
        <v>1.8789493518448705E-3</v>
      </c>
      <c r="AL83" s="261" t="s">
        <v>402</v>
      </c>
      <c r="AM83" s="132" t="s">
        <v>340</v>
      </c>
      <c r="AN83" s="132">
        <v>19.922739028930664</v>
      </c>
      <c r="AO83" s="132">
        <f t="shared" si="91"/>
        <v>1.0061389375413369E-6</v>
      </c>
      <c r="AP83" s="520">
        <f t="shared" si="105"/>
        <v>3.9954229586574215</v>
      </c>
      <c r="AQ83" s="672">
        <f>AVERAGE(AP83:AP84)</f>
        <v>5.1930148508099823</v>
      </c>
      <c r="AR83" s="525" t="s">
        <v>360</v>
      </c>
      <c r="AS83" s="396" t="s">
        <v>360</v>
      </c>
      <c r="AT83" s="526" t="s">
        <v>360</v>
      </c>
      <c r="AU83" s="396"/>
      <c r="AV83" s="498"/>
      <c r="AW83" s="871"/>
      <c r="AX83" s="261" t="s">
        <v>352</v>
      </c>
      <c r="AY83" s="132" t="s">
        <v>426</v>
      </c>
      <c r="AZ83" s="132">
        <v>32.490734100341797</v>
      </c>
      <c r="BA83" s="132">
        <f t="shared" si="93"/>
        <v>1.6569692720836206E-10</v>
      </c>
      <c r="BB83" s="520">
        <f t="shared" si="107"/>
        <v>3.3052827435502347E-4</v>
      </c>
      <c r="BC83" s="672">
        <f>AVERAGE(BB83:BB84)</f>
        <v>8.1071613519243511E-4</v>
      </c>
      <c r="BD83" s="261" t="s">
        <v>431</v>
      </c>
      <c r="BE83" s="132" t="s">
        <v>426</v>
      </c>
      <c r="BF83" s="132">
        <v>35.588382720947266</v>
      </c>
      <c r="BG83" s="132">
        <f t="shared" si="94"/>
        <v>1.9356610174314113E-11</v>
      </c>
      <c r="BH83" s="520">
        <f t="shared" si="108"/>
        <v>1.1836687791120567E-4</v>
      </c>
      <c r="BI83" s="672">
        <f>AVERAGE(BH83:BH84)</f>
        <v>2.3951046368279657E-3</v>
      </c>
      <c r="BJ83" s="261" t="s">
        <v>442</v>
      </c>
      <c r="BK83" s="132" t="s">
        <v>426</v>
      </c>
      <c r="BL83" s="132">
        <v>35.65045166015625</v>
      </c>
      <c r="BM83" s="132">
        <f t="shared" si="95"/>
        <v>1.854149256465182E-11</v>
      </c>
      <c r="BN83" s="520">
        <f t="shared" si="109"/>
        <v>4.9177058036920939E-5</v>
      </c>
      <c r="BO83" s="672">
        <f>AVERAGE(BN83:BN84)</f>
        <v>5.7987986020894991E-5</v>
      </c>
      <c r="BP83" s="261" t="s">
        <v>387</v>
      </c>
      <c r="BQ83" s="132" t="s">
        <v>426</v>
      </c>
      <c r="BR83" s="132">
        <v>37.213619232177734</v>
      </c>
      <c r="BS83" s="132">
        <f t="shared" si="96"/>
        <v>6.274575709483383E-12</v>
      </c>
      <c r="BT83" s="520">
        <f t="shared" si="110"/>
        <v>2.5638450525657602E-4</v>
      </c>
      <c r="BU83" s="672">
        <f>AVERAGE(BT83:BT84)</f>
        <v>3.7064574468474673E-3</v>
      </c>
      <c r="BV83" s="261" t="s">
        <v>393</v>
      </c>
      <c r="BW83" s="132" t="s">
        <v>426</v>
      </c>
      <c r="BX83" s="132" t="s">
        <v>333</v>
      </c>
      <c r="BY83" s="132" t="e">
        <f t="shared" si="97"/>
        <v>#VALUE!</v>
      </c>
      <c r="BZ83" s="520" t="e">
        <f t="shared" si="111"/>
        <v>#VALUE!</v>
      </c>
      <c r="CA83" s="672">
        <f>AVERAGE(BZ84)</f>
        <v>3.5613507156237856E-5</v>
      </c>
      <c r="CB83" s="261" t="s">
        <v>400</v>
      </c>
      <c r="CC83" s="132" t="s">
        <v>426</v>
      </c>
      <c r="CD83" s="132">
        <v>37.111949920654297</v>
      </c>
      <c r="CE83" s="132">
        <f t="shared" si="98"/>
        <v>6.7327095027811242E-12</v>
      </c>
      <c r="CF83" s="520">
        <f t="shared" si="112"/>
        <v>2.8238397108103168E-6</v>
      </c>
      <c r="CG83" s="672">
        <f>AVERAGE(CF83:CF84)</f>
        <v>1.8287027626919046E-4</v>
      </c>
      <c r="CH83" s="261" t="s">
        <v>406</v>
      </c>
      <c r="CI83" s="132" t="s">
        <v>426</v>
      </c>
      <c r="CJ83" s="132">
        <v>36.39422607421875</v>
      </c>
      <c r="CK83" s="132">
        <f t="shared" si="99"/>
        <v>1.1072515137306598E-11</v>
      </c>
      <c r="CL83" s="520">
        <f t="shared" si="113"/>
        <v>8.8351792295482105E-5</v>
      </c>
      <c r="CM83" s="672">
        <f>AVERAGE(CL83:CL84)</f>
        <v>5.4690564215502383E-5</v>
      </c>
    </row>
    <row r="84" spans="2:91" x14ac:dyDescent="0.25">
      <c r="B84" s="479" t="s">
        <v>352</v>
      </c>
      <c r="C84" s="132" t="s">
        <v>340</v>
      </c>
      <c r="D84" s="132">
        <v>19.655771255493164</v>
      </c>
      <c r="E84" s="122">
        <f t="shared" si="85"/>
        <v>1.2106629843291573E-6</v>
      </c>
      <c r="F84">
        <f t="shared" si="100"/>
        <v>1.0727186732821133E-2</v>
      </c>
      <c r="G84" s="789"/>
      <c r="H84" s="479">
        <v>19</v>
      </c>
      <c r="I84" s="132" t="s">
        <v>340</v>
      </c>
      <c r="J84" s="132" t="s">
        <v>333</v>
      </c>
      <c r="K84" s="122" t="e">
        <f t="shared" si="86"/>
        <v>#VALUE!</v>
      </c>
      <c r="L84" t="e">
        <f t="shared" si="102"/>
        <v>#VALUE!</v>
      </c>
      <c r="M84" s="789"/>
      <c r="N84" s="490">
        <v>4</v>
      </c>
      <c r="O84" s="79" t="s">
        <v>340</v>
      </c>
      <c r="P84" s="79">
        <v>19.144840240478516</v>
      </c>
      <c r="Q84" s="79">
        <f t="shared" si="87"/>
        <v>1.7251577973185792E-6</v>
      </c>
      <c r="R84" s="79">
        <f t="shared" si="103"/>
        <v>2.1965286179527608</v>
      </c>
      <c r="S84" s="789"/>
      <c r="T84" s="496" t="s">
        <v>360</v>
      </c>
      <c r="U84" s="274" t="s">
        <v>360</v>
      </c>
      <c r="V84" s="274" t="s">
        <v>360</v>
      </c>
      <c r="W84" s="274"/>
      <c r="X84" s="274"/>
      <c r="Y84" s="484"/>
      <c r="Z84" s="261" t="s">
        <v>389</v>
      </c>
      <c r="AA84" s="132" t="s">
        <v>340</v>
      </c>
      <c r="AB84" s="132">
        <v>33.637306213378906</v>
      </c>
      <c r="AC84" s="132">
        <f t="shared" si="89"/>
        <v>7.4844838643801583E-11</v>
      </c>
      <c r="AD84" s="520">
        <f>AC84/$AC$12</f>
        <v>8.7544152463014027E-3</v>
      </c>
      <c r="AE84" s="672"/>
      <c r="AF84" s="261" t="s">
        <v>395</v>
      </c>
      <c r="AG84" s="132" t="s">
        <v>340</v>
      </c>
      <c r="AH84" s="132">
        <v>34.923625946044922</v>
      </c>
      <c r="AI84" s="132">
        <f t="shared" si="90"/>
        <v>3.0686053147410819E-11</v>
      </c>
      <c r="AJ84" s="520">
        <f t="shared" si="104"/>
        <v>8.8100193012160871E-4</v>
      </c>
      <c r="AK84" s="672"/>
      <c r="AL84" s="261" t="s">
        <v>402</v>
      </c>
      <c r="AM84" s="132" t="s">
        <v>340</v>
      </c>
      <c r="AN84" s="132">
        <v>19.464468002319336</v>
      </c>
      <c r="AO84" s="132">
        <f t="shared" si="91"/>
        <v>1.3823285621644611E-6</v>
      </c>
      <c r="AP84" s="520">
        <f t="shared" si="105"/>
        <v>6.3906067429625422</v>
      </c>
      <c r="AQ84" s="672"/>
      <c r="AR84" s="523" t="s">
        <v>360</v>
      </c>
      <c r="AS84" s="272" t="s">
        <v>360</v>
      </c>
      <c r="AT84" s="527" t="s">
        <v>360</v>
      </c>
      <c r="AU84" s="272"/>
      <c r="AV84" s="274"/>
      <c r="AW84" s="872"/>
      <c r="AX84" s="261" t="s">
        <v>352</v>
      </c>
      <c r="AY84" s="132" t="s">
        <v>426</v>
      </c>
      <c r="AZ84" s="132">
        <v>30.518186569213867</v>
      </c>
      <c r="BA84" s="132">
        <f t="shared" si="93"/>
        <v>6.5029502184279334E-10</v>
      </c>
      <c r="BB84" s="520">
        <f t="shared" si="107"/>
        <v>1.2909039960298469E-3</v>
      </c>
      <c r="BC84" s="672"/>
      <c r="BD84" s="261" t="s">
        <v>431</v>
      </c>
      <c r="BE84" s="132" t="s">
        <v>426</v>
      </c>
      <c r="BF84" s="132">
        <v>30.027969360351563</v>
      </c>
      <c r="BG84" s="132">
        <f t="shared" si="94"/>
        <v>9.1344102638240059E-10</v>
      </c>
      <c r="BH84" s="520">
        <f t="shared" si="108"/>
        <v>4.6718423957447259E-3</v>
      </c>
      <c r="BI84" s="672"/>
      <c r="BJ84" s="261" t="s">
        <v>442</v>
      </c>
      <c r="BK84" s="132" t="s">
        <v>426</v>
      </c>
      <c r="BL84" s="132">
        <v>35.846721649169922</v>
      </c>
      <c r="BM84" s="132">
        <f t="shared" si="95"/>
        <v>1.6183093278344781E-11</v>
      </c>
      <c r="BN84" s="520">
        <f t="shared" si="109"/>
        <v>6.6798914004869044E-5</v>
      </c>
      <c r="BO84" s="672"/>
      <c r="BP84" s="261" t="s">
        <v>387</v>
      </c>
      <c r="BQ84" s="132" t="s">
        <v>426</v>
      </c>
      <c r="BR84" s="132">
        <v>31.059505462646484</v>
      </c>
      <c r="BS84" s="132">
        <f t="shared" si="96"/>
        <v>4.4684531126397525E-10</v>
      </c>
      <c r="BT84" s="520">
        <f t="shared" si="110"/>
        <v>7.1565303884383582E-3</v>
      </c>
      <c r="BU84" s="672"/>
      <c r="BV84" s="261" t="s">
        <v>393</v>
      </c>
      <c r="BW84" s="132" t="s">
        <v>426</v>
      </c>
      <c r="BX84" s="132">
        <v>34.244457244873047</v>
      </c>
      <c r="BY84" s="132">
        <f t="shared" si="97"/>
        <v>4.9135025305750797E-11</v>
      </c>
      <c r="BZ84" s="520">
        <f t="shared" si="111"/>
        <v>3.5613507156237856E-5</v>
      </c>
      <c r="CA84" s="672"/>
      <c r="CB84" s="261" t="s">
        <v>400</v>
      </c>
      <c r="CC84" s="132" t="s">
        <v>426</v>
      </c>
      <c r="CD84" s="132">
        <v>30.936748504638672</v>
      </c>
      <c r="CE84" s="132">
        <f t="shared" si="98"/>
        <v>4.8653124044267896E-10</v>
      </c>
      <c r="CF84" s="520">
        <f t="shared" si="112"/>
        <v>3.6291671282757059E-4</v>
      </c>
      <c r="CG84" s="672"/>
      <c r="CH84" s="261" t="s">
        <v>406</v>
      </c>
      <c r="CI84" s="132" t="s">
        <v>426</v>
      </c>
      <c r="CJ84" s="132">
        <v>38.355392456054688</v>
      </c>
      <c r="CK84" s="132">
        <f t="shared" si="99"/>
        <v>2.8436515284065123E-12</v>
      </c>
      <c r="CL84" s="520">
        <f t="shared" si="113"/>
        <v>2.1029336135522667E-5</v>
      </c>
      <c r="CM84" s="672"/>
    </row>
    <row r="85" spans="2:91" x14ac:dyDescent="0.25">
      <c r="B85" s="479" t="s">
        <v>353</v>
      </c>
      <c r="C85" s="132" t="s">
        <v>340</v>
      </c>
      <c r="D85" s="132">
        <v>21.328418731689453</v>
      </c>
      <c r="E85" s="122">
        <f t="shared" si="85"/>
        <v>3.7975736182817055E-7</v>
      </c>
      <c r="F85">
        <f t="shared" si="100"/>
        <v>0.15699999747642315</v>
      </c>
      <c r="G85" s="789">
        <f>AVERAGE(F85:F86)</f>
        <v>8.5904679217718827E-2</v>
      </c>
      <c r="H85" s="479">
        <v>20</v>
      </c>
      <c r="I85" s="132" t="s">
        <v>340</v>
      </c>
      <c r="J85" s="132" t="s">
        <v>333</v>
      </c>
      <c r="K85" s="122" t="e">
        <f t="shared" si="86"/>
        <v>#VALUE!</v>
      </c>
      <c r="L85" t="e">
        <f t="shared" si="102"/>
        <v>#VALUE!</v>
      </c>
      <c r="M85" s="789" t="e">
        <f>AVERAGE(L85:L86)</f>
        <v>#VALUE!</v>
      </c>
      <c r="N85" s="490" t="s">
        <v>356</v>
      </c>
      <c r="O85" s="79" t="s">
        <v>340</v>
      </c>
      <c r="P85" s="79">
        <v>18.949249267578125</v>
      </c>
      <c r="Q85" s="79">
        <f t="shared" si="87"/>
        <v>1.9756389290492281E-6</v>
      </c>
      <c r="R85" s="79">
        <f t="shared" si="103"/>
        <v>2.29802066165625</v>
      </c>
      <c r="S85" s="789">
        <f>AVERAGE(R85:R86)</f>
        <v>2.4305225313514258</v>
      </c>
      <c r="T85" s="496" t="s">
        <v>360</v>
      </c>
      <c r="U85" s="274" t="s">
        <v>360</v>
      </c>
      <c r="V85" s="274" t="s">
        <v>360</v>
      </c>
      <c r="W85" s="274"/>
      <c r="X85" s="274"/>
      <c r="Y85" s="484"/>
      <c r="Z85" s="261" t="s">
        <v>390</v>
      </c>
      <c r="AA85" s="132" t="s">
        <v>340</v>
      </c>
      <c r="AB85" s="132">
        <v>30.570465087890625</v>
      </c>
      <c r="AC85" s="132">
        <f t="shared" si="89"/>
        <v>6.2715231129047424E-10</v>
      </c>
      <c r="AD85" s="520">
        <f>AC85/$AC$13</f>
        <v>1.612207528564779E-2</v>
      </c>
      <c r="AE85" s="672">
        <f>AVERAGE(AD85:AD86)</f>
        <v>1.6049011709655329E-2</v>
      </c>
      <c r="AF85" s="261" t="s">
        <v>396</v>
      </c>
      <c r="AG85" s="132" t="s">
        <v>340</v>
      </c>
      <c r="AH85" s="132">
        <v>34.174797058105469</v>
      </c>
      <c r="AI85" s="132">
        <f t="shared" si="90"/>
        <v>5.1565708566050931E-11</v>
      </c>
      <c r="AJ85" s="520">
        <f t="shared" si="104"/>
        <v>2.1897528304928508E-3</v>
      </c>
      <c r="AK85" s="672">
        <f>AVERAGE(AJ85:AJ86)</f>
        <v>1.6280341833187983E-3</v>
      </c>
      <c r="AL85" s="261" t="s">
        <v>403</v>
      </c>
      <c r="AM85" s="132" t="s">
        <v>340</v>
      </c>
      <c r="AN85" s="132">
        <v>29.463752746582031</v>
      </c>
      <c r="AO85" s="132">
        <f t="shared" si="91"/>
        <v>1.3505996674541302E-9</v>
      </c>
      <c r="AP85" s="520">
        <f t="shared" si="105"/>
        <v>5.9518795295154282E-2</v>
      </c>
      <c r="AQ85" s="672">
        <f>AVERAGE(AP85:AP86)</f>
        <v>4.7455400543878028E-2</v>
      </c>
      <c r="AR85" s="523" t="s">
        <v>360</v>
      </c>
      <c r="AS85" s="272" t="s">
        <v>360</v>
      </c>
      <c r="AT85" s="527" t="s">
        <v>360</v>
      </c>
      <c r="AU85" s="272"/>
      <c r="AV85" s="274"/>
      <c r="AW85" s="872"/>
      <c r="AX85" s="261" t="s">
        <v>353</v>
      </c>
      <c r="AY85" s="132" t="s">
        <v>426</v>
      </c>
      <c r="AZ85" s="132">
        <v>28.498777389526367</v>
      </c>
      <c r="BA85" s="132">
        <f t="shared" si="93"/>
        <v>2.6364113096378598E-9</v>
      </c>
      <c r="BB85" s="520">
        <f t="shared" si="107"/>
        <v>2.6423843884866637E-2</v>
      </c>
      <c r="BC85" s="672">
        <f>AVERAGE(BB85:BB86)</f>
        <v>1.5880140048315811E-2</v>
      </c>
      <c r="BD85" s="261" t="s">
        <v>432</v>
      </c>
      <c r="BE85" s="132" t="s">
        <v>426</v>
      </c>
      <c r="BF85" s="132">
        <v>28.951372146606445</v>
      </c>
      <c r="BG85" s="132">
        <f t="shared" si="94"/>
        <v>1.9264980255318284E-9</v>
      </c>
      <c r="BH85" s="520">
        <f t="shared" si="108"/>
        <v>3.7196493074009426E-3</v>
      </c>
      <c r="BI85" s="672">
        <f>AVERAGE(BH85:BH86)</f>
        <v>2.9885811786010056E-3</v>
      </c>
      <c r="BJ85" s="261" t="s">
        <v>356</v>
      </c>
      <c r="BK85" s="132" t="s">
        <v>426</v>
      </c>
      <c r="BL85" s="132">
        <v>31.196969985961914</v>
      </c>
      <c r="BM85" s="132">
        <f t="shared" si="95"/>
        <v>4.0623399183179006E-10</v>
      </c>
      <c r="BN85" s="520">
        <f t="shared" si="109"/>
        <v>1.0700805538052911E-3</v>
      </c>
      <c r="BO85" s="672">
        <f>AVERAGE(BN85:BN86)</f>
        <v>6.9389938185198188E-4</v>
      </c>
      <c r="BP85" s="261" t="s">
        <v>388</v>
      </c>
      <c r="BQ85" s="132" t="s">
        <v>426</v>
      </c>
      <c r="BR85" s="132" t="s">
        <v>333</v>
      </c>
      <c r="BS85" s="132" t="e">
        <f t="shared" si="96"/>
        <v>#VALUE!</v>
      </c>
      <c r="BT85" s="520" t="e">
        <f t="shared" si="110"/>
        <v>#VALUE!</v>
      </c>
      <c r="BU85" s="672">
        <f>AVERAGE(BT86)</f>
        <v>1.2743757455912039E-2</v>
      </c>
      <c r="BV85" s="261" t="s">
        <v>394</v>
      </c>
      <c r="BW85" s="132" t="s">
        <v>426</v>
      </c>
      <c r="BX85" s="132" t="s">
        <v>333</v>
      </c>
      <c r="BY85" s="132" t="e">
        <f t="shared" si="97"/>
        <v>#VALUE!</v>
      </c>
      <c r="BZ85" s="520" t="e">
        <f t="shared" si="111"/>
        <v>#VALUE!</v>
      </c>
      <c r="CA85" s="672">
        <f>AVERAGE(BZ86)</f>
        <v>2.3365360709532624E-5</v>
      </c>
      <c r="CB85" s="261" t="s">
        <v>401</v>
      </c>
      <c r="CC85" s="132" t="s">
        <v>426</v>
      </c>
      <c r="CD85" s="132" t="s">
        <v>333</v>
      </c>
      <c r="CE85" s="132" t="e">
        <f t="shared" si="98"/>
        <v>#VALUE!</v>
      </c>
      <c r="CF85" s="520" t="e">
        <f t="shared" si="112"/>
        <v>#VALUE!</v>
      </c>
      <c r="CG85" s="672">
        <f>AVERAGE(CF86)</f>
        <v>9.7228167505566111E-5</v>
      </c>
      <c r="CH85" s="261" t="s">
        <v>407</v>
      </c>
      <c r="CI85" s="132" t="s">
        <v>426</v>
      </c>
      <c r="CJ85" s="132">
        <v>30.659664154052734</v>
      </c>
      <c r="CK85" s="132">
        <f t="shared" si="99"/>
        <v>5.8955107098304016E-10</v>
      </c>
      <c r="CL85" s="520">
        <f t="shared" si="113"/>
        <v>5.5865095034926477E-3</v>
      </c>
      <c r="CM85" s="672">
        <f>AVERAGE(CL85:CL86)</f>
        <v>2.8237768086587884E-3</v>
      </c>
    </row>
    <row r="86" spans="2:91" ht="15.75" thickBot="1" x14ac:dyDescent="0.3">
      <c r="B86" s="480" t="s">
        <v>353</v>
      </c>
      <c r="C86" s="203" t="s">
        <v>340</v>
      </c>
      <c r="D86" s="203">
        <v>21.664146423339844</v>
      </c>
      <c r="E86" s="123">
        <f t="shared" si="85"/>
        <v>3.0091379379319046E-7</v>
      </c>
      <c r="F86" s="6">
        <f t="shared" si="100"/>
        <v>1.4809360959014497E-2</v>
      </c>
      <c r="G86" s="789"/>
      <c r="H86" s="480">
        <v>20</v>
      </c>
      <c r="I86" s="203" t="s">
        <v>340</v>
      </c>
      <c r="J86" s="203" t="s">
        <v>333</v>
      </c>
      <c r="K86" s="123" t="e">
        <f t="shared" si="86"/>
        <v>#VALUE!</v>
      </c>
      <c r="L86" s="6" t="e">
        <f t="shared" si="102"/>
        <v>#VALUE!</v>
      </c>
      <c r="M86" s="790"/>
      <c r="N86" s="491" t="s">
        <v>356</v>
      </c>
      <c r="O86" s="82" t="s">
        <v>340</v>
      </c>
      <c r="P86" s="82">
        <v>18.463092803955078</v>
      </c>
      <c r="Q86" s="82">
        <f t="shared" si="87"/>
        <v>2.7672936930158358E-6</v>
      </c>
      <c r="R86" s="82">
        <f t="shared" si="103"/>
        <v>2.5630244010466017</v>
      </c>
      <c r="S86" s="790"/>
      <c r="T86" s="497" t="s">
        <v>360</v>
      </c>
      <c r="U86" s="493" t="s">
        <v>360</v>
      </c>
      <c r="V86" s="493" t="s">
        <v>360</v>
      </c>
      <c r="W86" s="493"/>
      <c r="X86" s="493"/>
      <c r="Y86" s="485"/>
      <c r="Z86" s="262" t="s">
        <v>390</v>
      </c>
      <c r="AA86" s="203" t="s">
        <v>340</v>
      </c>
      <c r="AB86" s="203">
        <v>30.893280029296875</v>
      </c>
      <c r="AC86" s="203">
        <f t="shared" si="89"/>
        <v>5.0141352777817616E-10</v>
      </c>
      <c r="AD86" s="521">
        <f>AC86/$AC$14</f>
        <v>1.5975948133662869E-2</v>
      </c>
      <c r="AE86" s="672"/>
      <c r="AF86" s="262" t="s">
        <v>396</v>
      </c>
      <c r="AG86" s="203" t="s">
        <v>340</v>
      </c>
      <c r="AH86" s="203">
        <v>34.727073669433594</v>
      </c>
      <c r="AI86" s="203">
        <f t="shared" si="90"/>
        <v>3.5164881954920626E-11</v>
      </c>
      <c r="AJ86" s="521">
        <f t="shared" si="104"/>
        <v>1.0663155361447458E-3</v>
      </c>
      <c r="AK86" s="672"/>
      <c r="AL86" s="262" t="s">
        <v>403</v>
      </c>
      <c r="AM86" s="203" t="s">
        <v>340</v>
      </c>
      <c r="AN86" s="203">
        <v>30.026086807250977</v>
      </c>
      <c r="AO86" s="203">
        <f t="shared" si="91"/>
        <v>9.1463374114048787E-10</v>
      </c>
      <c r="AP86" s="521">
        <f t="shared" si="105"/>
        <v>3.5392005792601773E-2</v>
      </c>
      <c r="AQ86" s="672"/>
      <c r="AR86" s="524" t="s">
        <v>360</v>
      </c>
      <c r="AS86" s="278" t="s">
        <v>360</v>
      </c>
      <c r="AT86" s="528" t="s">
        <v>360</v>
      </c>
      <c r="AU86" s="278"/>
      <c r="AV86" s="493"/>
      <c r="AW86" s="873"/>
      <c r="AX86" s="262" t="s">
        <v>353</v>
      </c>
      <c r="AY86" s="203" t="s">
        <v>426</v>
      </c>
      <c r="AZ86" s="203">
        <v>30.54893684387207</v>
      </c>
      <c r="BA86" s="203">
        <f t="shared" si="93"/>
        <v>6.3658100327799651E-10</v>
      </c>
      <c r="BB86" s="521">
        <f t="shared" si="107"/>
        <v>5.3364362117649805E-3</v>
      </c>
      <c r="BC86" s="672"/>
      <c r="BD86" s="262" t="s">
        <v>432</v>
      </c>
      <c r="BE86" s="203" t="s">
        <v>426</v>
      </c>
      <c r="BF86" s="203">
        <v>31.640480041503906</v>
      </c>
      <c r="BG86" s="203">
        <f t="shared" si="94"/>
        <v>2.9872146486776819E-10</v>
      </c>
      <c r="BH86" s="521">
        <f t="shared" si="108"/>
        <v>2.2575130498010687E-3</v>
      </c>
      <c r="BI86" s="672"/>
      <c r="BJ86" s="262" t="s">
        <v>356</v>
      </c>
      <c r="BK86" s="203" t="s">
        <v>426</v>
      </c>
      <c r="BL86" s="203">
        <v>32.897979736328125</v>
      </c>
      <c r="BM86" s="203">
        <f t="shared" si="95"/>
        <v>1.2494569658288602E-10</v>
      </c>
      <c r="BN86" s="521">
        <f t="shared" si="109"/>
        <v>3.1771820989867259E-4</v>
      </c>
      <c r="BO86" s="672"/>
      <c r="BP86" s="262" t="s">
        <v>388</v>
      </c>
      <c r="BQ86" s="203" t="s">
        <v>426</v>
      </c>
      <c r="BR86" s="203">
        <v>33.626682281494141</v>
      </c>
      <c r="BS86" s="203">
        <f t="shared" si="96"/>
        <v>7.5398026499585157E-11</v>
      </c>
      <c r="BT86" s="521">
        <f t="shared" si="110"/>
        <v>1.2743757455912039E-2</v>
      </c>
      <c r="BU86" s="672"/>
      <c r="BV86" s="262" t="s">
        <v>394</v>
      </c>
      <c r="BW86" s="203" t="s">
        <v>426</v>
      </c>
      <c r="BX86" s="203">
        <v>36.924003601074219</v>
      </c>
      <c r="BY86" s="203">
        <f t="shared" si="97"/>
        <v>7.6695053736574591E-12</v>
      </c>
      <c r="BZ86" s="521">
        <f t="shared" si="111"/>
        <v>2.3365360709532624E-5</v>
      </c>
      <c r="CA86" s="672"/>
      <c r="CB86" s="262" t="s">
        <v>401</v>
      </c>
      <c r="CC86" s="203" t="s">
        <v>426</v>
      </c>
      <c r="CD86" s="203">
        <v>33.491130828857422</v>
      </c>
      <c r="CE86" s="203">
        <f t="shared" si="98"/>
        <v>8.2825684133664868E-11</v>
      </c>
      <c r="CF86" s="521">
        <f t="shared" si="112"/>
        <v>9.7228167505566111E-5</v>
      </c>
      <c r="CG86" s="672"/>
      <c r="CH86" s="262" t="s">
        <v>407</v>
      </c>
      <c r="CI86" s="203" t="s">
        <v>426</v>
      </c>
      <c r="CJ86" s="203">
        <v>37.212558746337891</v>
      </c>
      <c r="CK86" s="203">
        <f t="shared" si="99"/>
        <v>6.279189674822547E-12</v>
      </c>
      <c r="CL86" s="521">
        <f t="shared" si="113"/>
        <v>6.1044113824929564E-5</v>
      </c>
      <c r="CM86" s="672"/>
    </row>
    <row r="87" spans="2:91" x14ac:dyDescent="0.25">
      <c r="B87" s="478" t="s">
        <v>331</v>
      </c>
      <c r="C87" s="202" t="s">
        <v>341</v>
      </c>
      <c r="D87" s="202">
        <v>27.393880844116211</v>
      </c>
      <c r="E87" s="443">
        <f t="shared" si="85"/>
        <v>5.6704845080956177E-9</v>
      </c>
      <c r="F87" s="8" t="e">
        <f t="shared" ref="F87:F98" si="114">E87/E3</f>
        <v>#VALUE!</v>
      </c>
      <c r="G87" s="487"/>
      <c r="H87" s="478" t="s">
        <v>331</v>
      </c>
      <c r="I87" s="202" t="s">
        <v>341</v>
      </c>
      <c r="J87" s="202">
        <v>34.933444976806641</v>
      </c>
      <c r="K87" s="443">
        <f t="shared" si="86"/>
        <v>3.0477911953493984E-11</v>
      </c>
      <c r="L87" s="8">
        <f>K87/K3</f>
        <v>0.29215923799615456</v>
      </c>
      <c r="M87" s="487"/>
      <c r="N87" s="489" t="s">
        <v>331</v>
      </c>
      <c r="O87" s="251" t="s">
        <v>341</v>
      </c>
      <c r="P87" s="251" t="s">
        <v>333</v>
      </c>
      <c r="Q87" s="251" t="e">
        <f t="shared" si="87"/>
        <v>#VALUE!</v>
      </c>
      <c r="R87" s="251" t="e">
        <f>Q87/Q3</f>
        <v>#VALUE!</v>
      </c>
      <c r="S87" s="487"/>
      <c r="T87" s="375" t="s">
        <v>331</v>
      </c>
      <c r="U87" s="251" t="s">
        <v>341</v>
      </c>
      <c r="V87" s="251" t="s">
        <v>333</v>
      </c>
      <c r="W87" s="251" t="e">
        <f t="shared" si="88"/>
        <v>#VALUE!</v>
      </c>
      <c r="X87" s="251" t="e">
        <f t="shared" ref="X87:X92" si="115">W87/W3</f>
        <v>#VALUE!</v>
      </c>
      <c r="Y87" s="487"/>
      <c r="Z87" s="452" t="s">
        <v>331</v>
      </c>
      <c r="AA87" s="202" t="s">
        <v>341</v>
      </c>
      <c r="AB87" s="202">
        <v>35.944061279296875</v>
      </c>
      <c r="AC87" s="202">
        <f t="shared" si="89"/>
        <v>1.5127229262464392E-11</v>
      </c>
      <c r="AD87" s="514" t="e">
        <f>AC87/$AC$3</f>
        <v>#VALUE!</v>
      </c>
      <c r="AE87" s="400"/>
      <c r="AF87" s="452" t="s">
        <v>331</v>
      </c>
      <c r="AG87" s="202" t="s">
        <v>341</v>
      </c>
      <c r="AH87" s="202" t="s">
        <v>333</v>
      </c>
      <c r="AI87" s="202" t="e">
        <f t="shared" si="90"/>
        <v>#VALUE!</v>
      </c>
      <c r="AJ87" s="514" t="e">
        <f>AI87/AI3</f>
        <v>#VALUE!</v>
      </c>
      <c r="AK87" s="400"/>
      <c r="AL87" s="452" t="s">
        <v>331</v>
      </c>
      <c r="AM87" s="202" t="s">
        <v>341</v>
      </c>
      <c r="AN87" s="202">
        <v>35.433738708496094</v>
      </c>
      <c r="AO87" s="202">
        <f t="shared" si="91"/>
        <v>2.1546750868876458E-11</v>
      </c>
      <c r="AP87" s="514">
        <f>AO87/AO3</f>
        <v>1.3995893870303855E-9</v>
      </c>
      <c r="AQ87" s="400"/>
      <c r="AR87" s="452" t="s">
        <v>331</v>
      </c>
      <c r="AS87" s="202" t="s">
        <v>341</v>
      </c>
      <c r="AT87" s="443" t="s">
        <v>333</v>
      </c>
      <c r="AU87" s="202" t="e">
        <f t="shared" si="92"/>
        <v>#VALUE!</v>
      </c>
      <c r="AV87" s="251" t="e">
        <f>AU87/AU3</f>
        <v>#VALUE!</v>
      </c>
      <c r="AW87" s="487"/>
      <c r="AX87" s="452" t="s">
        <v>331</v>
      </c>
      <c r="AY87" s="202" t="s">
        <v>427</v>
      </c>
      <c r="AZ87" s="202" t="s">
        <v>333</v>
      </c>
      <c r="BA87" s="202" t="e">
        <f t="shared" si="93"/>
        <v>#VALUE!</v>
      </c>
      <c r="BB87" s="514" t="e">
        <f>BA87/BA3</f>
        <v>#VALUE!</v>
      </c>
      <c r="BC87" s="400"/>
      <c r="BD87" s="452" t="s">
        <v>331</v>
      </c>
      <c r="BE87" s="202" t="s">
        <v>427</v>
      </c>
      <c r="BF87" s="202" t="s">
        <v>333</v>
      </c>
      <c r="BG87" s="202" t="e">
        <f t="shared" si="94"/>
        <v>#VALUE!</v>
      </c>
      <c r="BH87" s="514" t="e">
        <f>BG87/BG3</f>
        <v>#VALUE!</v>
      </c>
      <c r="BI87" s="400"/>
      <c r="BJ87" s="452" t="s">
        <v>331</v>
      </c>
      <c r="BK87" s="202" t="s">
        <v>443</v>
      </c>
      <c r="BL87" s="202" t="s">
        <v>333</v>
      </c>
      <c r="BM87" s="202" t="e">
        <f t="shared" si="95"/>
        <v>#VALUE!</v>
      </c>
      <c r="BN87" s="514" t="e">
        <f>BM87/BM3</f>
        <v>#VALUE!</v>
      </c>
      <c r="BO87" s="400"/>
      <c r="BP87" s="452" t="s">
        <v>331</v>
      </c>
      <c r="BQ87" s="202" t="s">
        <v>443</v>
      </c>
      <c r="BR87" s="202" t="s">
        <v>333</v>
      </c>
      <c r="BS87" s="202" t="e">
        <f t="shared" si="96"/>
        <v>#VALUE!</v>
      </c>
      <c r="BT87" s="514" t="e">
        <f>BS87/BS3</f>
        <v>#VALUE!</v>
      </c>
      <c r="BU87" s="400"/>
      <c r="BV87" s="452" t="s">
        <v>331</v>
      </c>
      <c r="BW87" s="202" t="s">
        <v>443</v>
      </c>
      <c r="BX87" s="202" t="s">
        <v>333</v>
      </c>
      <c r="BY87" s="202" t="e">
        <f t="shared" si="97"/>
        <v>#VALUE!</v>
      </c>
      <c r="BZ87" s="514" t="e">
        <f>BY87/BY3</f>
        <v>#VALUE!</v>
      </c>
      <c r="CA87" s="400"/>
      <c r="CB87" s="452" t="s">
        <v>331</v>
      </c>
      <c r="CC87" s="202" t="s">
        <v>443</v>
      </c>
      <c r="CD87" s="202" t="s">
        <v>333</v>
      </c>
      <c r="CE87" s="202" t="e">
        <f t="shared" si="98"/>
        <v>#VALUE!</v>
      </c>
      <c r="CF87" s="514" t="e">
        <f>CE87/CE3</f>
        <v>#VALUE!</v>
      </c>
      <c r="CG87" s="400"/>
      <c r="CH87" s="452" t="s">
        <v>331</v>
      </c>
      <c r="CI87" s="202" t="s">
        <v>443</v>
      </c>
      <c r="CJ87" s="202" t="s">
        <v>333</v>
      </c>
      <c r="CK87" s="202" t="e">
        <f t="shared" si="99"/>
        <v>#VALUE!</v>
      </c>
      <c r="CL87" s="514" t="e">
        <f>CK87/CK3</f>
        <v>#VALUE!</v>
      </c>
      <c r="CM87" s="400"/>
    </row>
    <row r="88" spans="2:91" x14ac:dyDescent="0.25">
      <c r="B88" s="486" t="s">
        <v>331</v>
      </c>
      <c r="C88" s="134" t="s">
        <v>341</v>
      </c>
      <c r="D88" s="134" t="s">
        <v>333</v>
      </c>
      <c r="E88" s="139" t="e">
        <f t="shared" si="85"/>
        <v>#VALUE!</v>
      </c>
      <c r="F88" s="162" t="e">
        <f t="shared" si="114"/>
        <v>#VALUE!</v>
      </c>
      <c r="G88" s="488"/>
      <c r="H88" s="486" t="s">
        <v>331</v>
      </c>
      <c r="I88" s="134" t="s">
        <v>341</v>
      </c>
      <c r="J88" s="134">
        <v>34.943656921386719</v>
      </c>
      <c r="K88" s="139">
        <f t="shared" si="86"/>
        <v>3.0262939419264336E-11</v>
      </c>
      <c r="L88" s="162" t="e">
        <f t="shared" ref="L88:L98" si="116">K88/K4</f>
        <v>#VALUE!</v>
      </c>
      <c r="M88" s="488"/>
      <c r="N88" s="494" t="s">
        <v>331</v>
      </c>
      <c r="O88" s="138" t="s">
        <v>341</v>
      </c>
      <c r="P88" s="138" t="s">
        <v>333</v>
      </c>
      <c r="Q88" s="138" t="e">
        <f t="shared" si="87"/>
        <v>#VALUE!</v>
      </c>
      <c r="R88" s="138" t="e">
        <f t="shared" ref="R88:R98" si="117">Q88/Q4</f>
        <v>#VALUE!</v>
      </c>
      <c r="S88" s="488"/>
      <c r="T88" s="257" t="s">
        <v>331</v>
      </c>
      <c r="U88" s="138" t="s">
        <v>341</v>
      </c>
      <c r="V88" s="138" t="s">
        <v>333</v>
      </c>
      <c r="W88" s="138" t="e">
        <f t="shared" si="88"/>
        <v>#VALUE!</v>
      </c>
      <c r="X88" s="138" t="e">
        <f t="shared" si="115"/>
        <v>#VALUE!</v>
      </c>
      <c r="Y88" s="488"/>
      <c r="Z88" s="513" t="s">
        <v>331</v>
      </c>
      <c r="AA88" s="134" t="s">
        <v>341</v>
      </c>
      <c r="AB88" s="134" t="s">
        <v>333</v>
      </c>
      <c r="AC88" s="134" t="e">
        <f t="shared" si="89"/>
        <v>#VALUE!</v>
      </c>
      <c r="AD88" s="519" t="e">
        <f>AC88/$AC$4</f>
        <v>#VALUE!</v>
      </c>
      <c r="AE88" s="385"/>
      <c r="AF88" s="513" t="s">
        <v>331</v>
      </c>
      <c r="AG88" s="134" t="s">
        <v>341</v>
      </c>
      <c r="AH88" s="134" t="s">
        <v>333</v>
      </c>
      <c r="AI88" s="134" t="e">
        <f t="shared" si="90"/>
        <v>#VALUE!</v>
      </c>
      <c r="AJ88" s="519" t="e">
        <f t="shared" ref="AJ88:AJ98" si="118">AI88/AI4</f>
        <v>#VALUE!</v>
      </c>
      <c r="AK88" s="385"/>
      <c r="AL88" s="513" t="s">
        <v>331</v>
      </c>
      <c r="AM88" s="134" t="s">
        <v>341</v>
      </c>
      <c r="AN88" s="134" t="s">
        <v>333</v>
      </c>
      <c r="AO88" s="134" t="e">
        <f t="shared" si="91"/>
        <v>#VALUE!</v>
      </c>
      <c r="AP88" s="519" t="e">
        <f t="shared" ref="AP88:AP98" si="119">AO88/AO4</f>
        <v>#VALUE!</v>
      </c>
      <c r="AQ88" s="385"/>
      <c r="AR88" s="513" t="s">
        <v>331</v>
      </c>
      <c r="AS88" s="134" t="s">
        <v>341</v>
      </c>
      <c r="AT88" s="139" t="s">
        <v>333</v>
      </c>
      <c r="AU88" s="134" t="e">
        <f t="shared" si="92"/>
        <v>#VALUE!</v>
      </c>
      <c r="AV88" s="138" t="e">
        <f t="shared" ref="AV88:AV94" si="120">AU88/AU4</f>
        <v>#VALUE!</v>
      </c>
      <c r="AW88" s="488"/>
      <c r="AX88" s="513" t="s">
        <v>331</v>
      </c>
      <c r="AY88" s="134" t="s">
        <v>427</v>
      </c>
      <c r="AZ88" s="134" t="s">
        <v>333</v>
      </c>
      <c r="BA88" s="134" t="e">
        <f t="shared" si="93"/>
        <v>#VALUE!</v>
      </c>
      <c r="BB88" s="519" t="e">
        <f t="shared" ref="BB88:BB98" si="121">BA88/BA4</f>
        <v>#VALUE!</v>
      </c>
      <c r="BC88" s="385"/>
      <c r="BD88" s="513" t="s">
        <v>331</v>
      </c>
      <c r="BE88" s="134" t="s">
        <v>427</v>
      </c>
      <c r="BF88" s="134" t="s">
        <v>333</v>
      </c>
      <c r="BG88" s="134" t="e">
        <f t="shared" si="94"/>
        <v>#VALUE!</v>
      </c>
      <c r="BH88" s="519" t="e">
        <f t="shared" ref="BH88:BH98" si="122">BG88/BG4</f>
        <v>#VALUE!</v>
      </c>
      <c r="BI88" s="385"/>
      <c r="BJ88" s="513" t="s">
        <v>331</v>
      </c>
      <c r="BK88" s="134" t="s">
        <v>443</v>
      </c>
      <c r="BL88" s="134" t="s">
        <v>333</v>
      </c>
      <c r="BM88" s="134" t="e">
        <f t="shared" si="95"/>
        <v>#VALUE!</v>
      </c>
      <c r="BN88" s="519" t="e">
        <f t="shared" ref="BN88:BN98" si="123">BM88/BM4</f>
        <v>#VALUE!</v>
      </c>
      <c r="BO88" s="385"/>
      <c r="BP88" s="513" t="s">
        <v>331</v>
      </c>
      <c r="BQ88" s="134" t="s">
        <v>443</v>
      </c>
      <c r="BR88" s="134" t="s">
        <v>333</v>
      </c>
      <c r="BS88" s="134" t="e">
        <f t="shared" si="96"/>
        <v>#VALUE!</v>
      </c>
      <c r="BT88" s="519" t="e">
        <f t="shared" ref="BT88:BT98" si="124">BS88/BS4</f>
        <v>#VALUE!</v>
      </c>
      <c r="BU88" s="385"/>
      <c r="BV88" s="513" t="s">
        <v>331</v>
      </c>
      <c r="BW88" s="134" t="s">
        <v>443</v>
      </c>
      <c r="BX88" s="134" t="s">
        <v>333</v>
      </c>
      <c r="BY88" s="134" t="e">
        <f t="shared" si="97"/>
        <v>#VALUE!</v>
      </c>
      <c r="BZ88" s="519" t="e">
        <f t="shared" ref="BZ88:BZ98" si="125">BY88/BY4</f>
        <v>#VALUE!</v>
      </c>
      <c r="CA88" s="385"/>
      <c r="CB88" s="513" t="s">
        <v>331</v>
      </c>
      <c r="CC88" s="134" t="s">
        <v>443</v>
      </c>
      <c r="CD88" s="134" t="s">
        <v>333</v>
      </c>
      <c r="CE88" s="134" t="e">
        <f t="shared" si="98"/>
        <v>#VALUE!</v>
      </c>
      <c r="CF88" s="519" t="e">
        <f t="shared" ref="CF88:CF98" si="126">CE88/CE4</f>
        <v>#VALUE!</v>
      </c>
      <c r="CG88" s="385"/>
      <c r="CH88" s="513" t="s">
        <v>331</v>
      </c>
      <c r="CI88" s="134" t="s">
        <v>443</v>
      </c>
      <c r="CJ88" s="134" t="s">
        <v>333</v>
      </c>
      <c r="CK88" s="134" t="e">
        <f t="shared" si="99"/>
        <v>#VALUE!</v>
      </c>
      <c r="CL88" s="519" t="e">
        <f t="shared" ref="CL88:CL98" si="127">CK88/CK4</f>
        <v>#VALUE!</v>
      </c>
      <c r="CM88" s="385"/>
    </row>
    <row r="89" spans="2:91" x14ac:dyDescent="0.25">
      <c r="B89" s="479" t="s">
        <v>349</v>
      </c>
      <c r="C89" s="132" t="s">
        <v>341</v>
      </c>
      <c r="D89" s="132">
        <v>7.9557943344116211</v>
      </c>
      <c r="E89" s="122">
        <f t="shared" si="85"/>
        <v>4.0277941426941693E-3</v>
      </c>
      <c r="F89">
        <f t="shared" si="114"/>
        <v>1.9496225555854658</v>
      </c>
      <c r="G89" s="789">
        <f>AVERAGE(F89:F90)</f>
        <v>2.906405944329987</v>
      </c>
      <c r="H89" s="479">
        <v>30</v>
      </c>
      <c r="I89" s="132" t="s">
        <v>341</v>
      </c>
      <c r="J89" s="132">
        <v>16.743377685546875</v>
      </c>
      <c r="K89" s="122">
        <f t="shared" si="86"/>
        <v>9.1146729054031966E-6</v>
      </c>
      <c r="L89">
        <f t="shared" si="116"/>
        <v>4.7196437921733354</v>
      </c>
      <c r="M89" s="789">
        <f>AVERAGE(L89:L90)</f>
        <v>2.8018518476924625</v>
      </c>
      <c r="N89" s="490">
        <v>15</v>
      </c>
      <c r="O89" s="79" t="s">
        <v>341</v>
      </c>
      <c r="P89" s="79">
        <v>21.433883666992188</v>
      </c>
      <c r="Q89" s="79">
        <f t="shared" si="87"/>
        <v>3.5298649722728624E-7</v>
      </c>
      <c r="R89" s="79" t="e">
        <f t="shared" si="117"/>
        <v>#VALUE!</v>
      </c>
      <c r="S89" s="789" t="e">
        <f>AVERAGE(R89:R90)</f>
        <v>#VALUE!</v>
      </c>
      <c r="T89" s="80" t="s">
        <v>358</v>
      </c>
      <c r="U89" s="79" t="s">
        <v>341</v>
      </c>
      <c r="V89" s="79" t="s">
        <v>333</v>
      </c>
      <c r="W89" s="79" t="e">
        <f t="shared" si="88"/>
        <v>#VALUE!</v>
      </c>
      <c r="X89" s="79" t="e">
        <f t="shared" si="115"/>
        <v>#VALUE!</v>
      </c>
      <c r="Y89" s="789" t="e">
        <f>AVERAGE(X89:X90)</f>
        <v>#VALUE!</v>
      </c>
      <c r="Z89" s="261" t="s">
        <v>386</v>
      </c>
      <c r="AA89" s="132" t="s">
        <v>341</v>
      </c>
      <c r="AB89" s="132">
        <v>30.725978851318359</v>
      </c>
      <c r="AC89" s="132">
        <f t="shared" si="89"/>
        <v>5.6306524256084053E-10</v>
      </c>
      <c r="AD89" s="520">
        <f>AC89/$AC$5</f>
        <v>5.0819186978324542E-2</v>
      </c>
      <c r="AE89" s="676">
        <f>AVERAGE(AD89:AD90)</f>
        <v>6.2991049696712487E-2</v>
      </c>
      <c r="AF89" s="261" t="s">
        <v>392</v>
      </c>
      <c r="AG89" s="132" t="s">
        <v>341</v>
      </c>
      <c r="AH89" s="132">
        <v>31.424680709838867</v>
      </c>
      <c r="AI89" s="132">
        <f t="shared" si="90"/>
        <v>3.4691933255812552E-10</v>
      </c>
      <c r="AJ89" s="520">
        <f t="shared" si="118"/>
        <v>5.9081724124538668E-3</v>
      </c>
      <c r="AK89" s="676">
        <f>AVERAGE(AJ89:AJ90)</f>
        <v>8.0994458669230857E-3</v>
      </c>
      <c r="AL89" s="261" t="s">
        <v>399</v>
      </c>
      <c r="AM89" s="132" t="s">
        <v>341</v>
      </c>
      <c r="AN89" s="132">
        <v>28.611024856567383</v>
      </c>
      <c r="AO89" s="132">
        <f t="shared" si="91"/>
        <v>2.4390646476552398E-9</v>
      </c>
      <c r="AP89" s="520">
        <f t="shared" si="119"/>
        <v>9.3372506186312668E-2</v>
      </c>
      <c r="AQ89" s="676">
        <f>AVERAGE(AP89:AP90)</f>
        <v>0.13941217986595658</v>
      </c>
      <c r="AR89" s="261" t="s">
        <v>405</v>
      </c>
      <c r="AS89" s="132" t="s">
        <v>341</v>
      </c>
      <c r="AT89" s="122">
        <v>19.904306411743164</v>
      </c>
      <c r="AU89" s="132">
        <f t="shared" si="92"/>
        <v>1.0190763600186241E-6</v>
      </c>
      <c r="AV89" s="79">
        <f t="shared" si="120"/>
        <v>7.6829070411995337</v>
      </c>
      <c r="AW89" s="789">
        <f>AV89</f>
        <v>7.6829070411995337</v>
      </c>
      <c r="AX89" s="261" t="s">
        <v>349</v>
      </c>
      <c r="AY89" s="132" t="s">
        <v>427</v>
      </c>
      <c r="AZ89" s="132">
        <v>27.26213264465332</v>
      </c>
      <c r="BA89" s="132">
        <f t="shared" si="93"/>
        <v>6.2126992183815389E-9</v>
      </c>
      <c r="BB89" s="520">
        <f t="shared" si="121"/>
        <v>1.2263727070994246E-2</v>
      </c>
      <c r="BC89" s="676">
        <f>AVERAGE(BB89:BB90)</f>
        <v>1.0655248267311653E-2</v>
      </c>
      <c r="BD89" s="261" t="s">
        <v>429</v>
      </c>
      <c r="BE89" s="132" t="s">
        <v>427</v>
      </c>
      <c r="BF89" s="132">
        <v>31.314006805419922</v>
      </c>
      <c r="BG89" s="132">
        <f t="shared" si="94"/>
        <v>3.7458007057652763E-10</v>
      </c>
      <c r="BH89" s="520">
        <f t="shared" si="122"/>
        <v>9.9345623495072227E-4</v>
      </c>
      <c r="BI89" s="676">
        <f>AVERAGE(BH89:BH90)</f>
        <v>1.6522174452117105E-3</v>
      </c>
      <c r="BJ89" s="261" t="s">
        <v>439</v>
      </c>
      <c r="BK89" s="132" t="s">
        <v>443</v>
      </c>
      <c r="BL89" s="132">
        <v>30.135940551757813</v>
      </c>
      <c r="BM89" s="132">
        <f t="shared" si="95"/>
        <v>8.475746254068301E-10</v>
      </c>
      <c r="BN89" s="520">
        <f t="shared" si="123"/>
        <v>2.381186443397949E-3</v>
      </c>
      <c r="BO89" s="676">
        <f>AVERAGE(BN89:BN90)</f>
        <v>2.7002926862334589E-3</v>
      </c>
      <c r="BP89" s="261" t="s">
        <v>358</v>
      </c>
      <c r="BQ89" s="132" t="s">
        <v>443</v>
      </c>
      <c r="BR89" s="132">
        <v>26.902006149291992</v>
      </c>
      <c r="BS89" s="132">
        <f t="shared" si="96"/>
        <v>7.9742382204226797E-9</v>
      </c>
      <c r="BT89" s="520">
        <f t="shared" si="124"/>
        <v>1.5898389227933265E-2</v>
      </c>
      <c r="BU89" s="676">
        <f>AVERAGE(BT89:BT90)</f>
        <v>1.6482741936919804E-2</v>
      </c>
      <c r="BV89" s="261" t="s">
        <v>389</v>
      </c>
      <c r="BW89" s="132" t="s">
        <v>443</v>
      </c>
      <c r="BX89" s="132">
        <v>34.294658660888672</v>
      </c>
      <c r="BY89" s="132">
        <f t="shared" si="97"/>
        <v>4.7454680310285486E-11</v>
      </c>
      <c r="BZ89" s="520">
        <f t="shared" si="125"/>
        <v>8.5592759238751109E-5</v>
      </c>
      <c r="CA89" s="676">
        <f>AVERAGE(BZ89:BZ90)</f>
        <v>6.3065100379358993E-5</v>
      </c>
      <c r="CB89" s="261" t="s">
        <v>395</v>
      </c>
      <c r="CC89" s="132" t="s">
        <v>443</v>
      </c>
      <c r="CD89" s="132">
        <v>32.932563781738281</v>
      </c>
      <c r="CE89" s="132">
        <f t="shared" si="98"/>
        <v>1.2198613393532783E-10</v>
      </c>
      <c r="CF89" s="520">
        <f t="shared" si="126"/>
        <v>7.9801004587346105E-5</v>
      </c>
      <c r="CG89" s="676">
        <f>AVERAGE(CF89:CF90)</f>
        <v>6.0834083474684556E-5</v>
      </c>
      <c r="CH89" s="261" t="s">
        <v>402</v>
      </c>
      <c r="CI89" s="132" t="s">
        <v>443</v>
      </c>
      <c r="CJ89" s="132">
        <v>29.988262176513672</v>
      </c>
      <c r="CK89" s="132">
        <f t="shared" si="99"/>
        <v>9.3893075992050593E-10</v>
      </c>
      <c r="CL89" s="520">
        <f t="shared" si="127"/>
        <v>8.4427959919533713E-3</v>
      </c>
      <c r="CM89" s="676">
        <f>AVERAGE(CL89:CL90)</f>
        <v>7.8041175763692546E-3</v>
      </c>
    </row>
    <row r="90" spans="2:91" x14ac:dyDescent="0.25">
      <c r="B90" s="479" t="s">
        <v>349</v>
      </c>
      <c r="C90" s="132" t="s">
        <v>341</v>
      </c>
      <c r="D90" s="132">
        <v>7.824617862701416</v>
      </c>
      <c r="E90" s="122">
        <f t="shared" si="85"/>
        <v>4.4111854748433918E-3</v>
      </c>
      <c r="F90">
        <f t="shared" si="114"/>
        <v>3.8631893330745082</v>
      </c>
      <c r="G90" s="789"/>
      <c r="H90" s="479">
        <v>30</v>
      </c>
      <c r="I90" s="132" t="s">
        <v>341</v>
      </c>
      <c r="J90" s="132">
        <v>17.062877655029297</v>
      </c>
      <c r="K90" s="122">
        <f t="shared" si="86"/>
        <v>7.304021005229538E-6</v>
      </c>
      <c r="L90">
        <f t="shared" si="116"/>
        <v>0.88405990321158989</v>
      </c>
      <c r="M90" s="789"/>
      <c r="N90" s="490">
        <v>15</v>
      </c>
      <c r="O90" s="79" t="s">
        <v>341</v>
      </c>
      <c r="P90" s="79">
        <v>21.353193283081055</v>
      </c>
      <c r="Q90" s="79">
        <f t="shared" si="87"/>
        <v>3.7329168704002438E-7</v>
      </c>
      <c r="R90" s="79">
        <f t="shared" si="117"/>
        <v>0.47314205548941368</v>
      </c>
      <c r="S90" s="789"/>
      <c r="T90" s="80" t="s">
        <v>358</v>
      </c>
      <c r="U90" s="79" t="s">
        <v>341</v>
      </c>
      <c r="V90" s="79" t="s">
        <v>333</v>
      </c>
      <c r="W90" s="79" t="e">
        <f t="shared" si="88"/>
        <v>#VALUE!</v>
      </c>
      <c r="X90" s="79" t="e">
        <f t="shared" si="115"/>
        <v>#VALUE!</v>
      </c>
      <c r="Y90" s="789"/>
      <c r="Z90" s="261" t="s">
        <v>386</v>
      </c>
      <c r="AA90" s="132" t="s">
        <v>341</v>
      </c>
      <c r="AB90" s="132">
        <v>30.393051147460938</v>
      </c>
      <c r="AC90" s="132">
        <f t="shared" si="89"/>
        <v>7.092183190511246E-10</v>
      </c>
      <c r="AD90" s="520">
        <f>AC90/$AC$6</f>
        <v>7.5162912415100425E-2</v>
      </c>
      <c r="AE90" s="672"/>
      <c r="AF90" s="261" t="s">
        <v>392</v>
      </c>
      <c r="AG90" s="132" t="s">
        <v>341</v>
      </c>
      <c r="AH90" s="132">
        <v>31.149744033813477</v>
      </c>
      <c r="AI90" s="132">
        <f t="shared" si="90"/>
        <v>4.1975191732546255E-10</v>
      </c>
      <c r="AJ90" s="520">
        <f t="shared" si="118"/>
        <v>1.0290719321392304E-2</v>
      </c>
      <c r="AK90" s="672"/>
      <c r="AL90" s="261" t="s">
        <v>399</v>
      </c>
      <c r="AM90" s="132" t="s">
        <v>341</v>
      </c>
      <c r="AN90" s="132">
        <v>27.882659912109375</v>
      </c>
      <c r="AO90" s="132">
        <f t="shared" si="91"/>
        <v>4.0409456338009528E-9</v>
      </c>
      <c r="AP90" s="520">
        <f t="shared" si="119"/>
        <v>0.18545185354560051</v>
      </c>
      <c r="AQ90" s="672"/>
      <c r="AR90" s="261" t="s">
        <v>405</v>
      </c>
      <c r="AS90" s="132" t="s">
        <v>341</v>
      </c>
      <c r="AT90" s="122" t="s">
        <v>333</v>
      </c>
      <c r="AU90" s="132" t="e">
        <f t="shared" si="92"/>
        <v>#VALUE!</v>
      </c>
      <c r="AV90" s="79" t="e">
        <f t="shared" si="120"/>
        <v>#VALUE!</v>
      </c>
      <c r="AW90" s="789"/>
      <c r="AX90" s="261" t="s">
        <v>349</v>
      </c>
      <c r="AY90" s="132" t="s">
        <v>427</v>
      </c>
      <c r="AZ90" s="132">
        <v>27.742279052734375</v>
      </c>
      <c r="BA90" s="132">
        <f t="shared" si="93"/>
        <v>4.4539143076511656E-9</v>
      </c>
      <c r="BB90" s="520">
        <f t="shared" si="121"/>
        <v>9.0467694636290601E-3</v>
      </c>
      <c r="BC90" s="672"/>
      <c r="BD90" s="261" t="s">
        <v>429</v>
      </c>
      <c r="BE90" s="132" t="s">
        <v>427</v>
      </c>
      <c r="BF90" s="132">
        <v>31.470491409301758</v>
      </c>
      <c r="BG90" s="132">
        <f t="shared" si="94"/>
        <v>3.3607647046400416E-10</v>
      </c>
      <c r="BH90" s="520">
        <f t="shared" si="122"/>
        <v>2.3109786554726987E-3</v>
      </c>
      <c r="BI90" s="672"/>
      <c r="BJ90" s="261" t="s">
        <v>439</v>
      </c>
      <c r="BK90" s="132" t="s">
        <v>443</v>
      </c>
      <c r="BL90" s="132">
        <v>30.249277114868164</v>
      </c>
      <c r="BM90" s="132">
        <f t="shared" si="95"/>
        <v>7.8353832034342732E-10</v>
      </c>
      <c r="BN90" s="520">
        <f t="shared" si="123"/>
        <v>3.0193989290689693E-3</v>
      </c>
      <c r="BO90" s="672"/>
      <c r="BP90" s="261" t="s">
        <v>358</v>
      </c>
      <c r="BQ90" s="132" t="s">
        <v>443</v>
      </c>
      <c r="BR90" s="132">
        <v>27.188381195068359</v>
      </c>
      <c r="BS90" s="132">
        <f t="shared" si="96"/>
        <v>6.538554179747975E-9</v>
      </c>
      <c r="BT90" s="520">
        <f t="shared" si="124"/>
        <v>1.7067094645906344E-2</v>
      </c>
      <c r="BU90" s="672"/>
      <c r="BV90" s="261" t="s">
        <v>389</v>
      </c>
      <c r="BW90" s="132" t="s">
        <v>443</v>
      </c>
      <c r="BX90" s="132">
        <v>35.559814453125</v>
      </c>
      <c r="BY90" s="132">
        <f t="shared" si="97"/>
        <v>1.9743730274856552E-11</v>
      </c>
      <c r="BZ90" s="520">
        <f t="shared" si="125"/>
        <v>4.053744151996689E-5</v>
      </c>
      <c r="CA90" s="672"/>
      <c r="CB90" s="261" t="s">
        <v>395</v>
      </c>
      <c r="CC90" s="132" t="s">
        <v>443</v>
      </c>
      <c r="CD90" s="132">
        <v>33.956069946289063</v>
      </c>
      <c r="CE90" s="132">
        <f t="shared" si="98"/>
        <v>6.0007344901920064E-11</v>
      </c>
      <c r="CF90" s="520">
        <f t="shared" si="126"/>
        <v>4.1867162362023014E-5</v>
      </c>
      <c r="CG90" s="672"/>
      <c r="CH90" s="261" t="s">
        <v>402</v>
      </c>
      <c r="CI90" s="132" t="s">
        <v>443</v>
      </c>
      <c r="CJ90" s="132">
        <v>29.275249481201172</v>
      </c>
      <c r="CK90" s="132">
        <f t="shared" si="99"/>
        <v>1.5391174979104237E-9</v>
      </c>
      <c r="CL90" s="520">
        <f t="shared" si="127"/>
        <v>7.1654391607851378E-3</v>
      </c>
      <c r="CM90" s="672"/>
    </row>
    <row r="91" spans="2:91" x14ac:dyDescent="0.25">
      <c r="B91" s="479" t="s">
        <v>350</v>
      </c>
      <c r="C91" s="132" t="s">
        <v>341</v>
      </c>
      <c r="D91" s="132">
        <v>10.536992073059082</v>
      </c>
      <c r="E91" s="122">
        <f t="shared" si="85"/>
        <v>6.7305308920615446E-4</v>
      </c>
      <c r="F91">
        <f t="shared" si="114"/>
        <v>0.57507206023767232</v>
      </c>
      <c r="G91" s="789">
        <f>AVERAGE(F91:F92)</f>
        <v>1.7379969460035456</v>
      </c>
      <c r="H91" s="479">
        <v>28</v>
      </c>
      <c r="I91" s="132" t="s">
        <v>341</v>
      </c>
      <c r="J91" s="132">
        <v>16.200408935546875</v>
      </c>
      <c r="K91" s="122">
        <f t="shared" si="86"/>
        <v>1.3279782692154391E-5</v>
      </c>
      <c r="L91">
        <f t="shared" si="116"/>
        <v>0.9442008954267338</v>
      </c>
      <c r="M91" s="789">
        <f>AVERAGE(L91:L92)</f>
        <v>0.83807861295600417</v>
      </c>
      <c r="N91" s="490">
        <v>5</v>
      </c>
      <c r="O91" s="79" t="s">
        <v>341</v>
      </c>
      <c r="P91" s="79">
        <v>20.481899261474609</v>
      </c>
      <c r="Q91" s="79">
        <f t="shared" si="87"/>
        <v>6.8286358558477344E-7</v>
      </c>
      <c r="R91" s="79">
        <f t="shared" si="117"/>
        <v>0.84003971065303329</v>
      </c>
      <c r="S91" s="789">
        <f>AVERAGE(R91:R92)</f>
        <v>0.85946036538284465</v>
      </c>
      <c r="T91" s="80" t="s">
        <v>359</v>
      </c>
      <c r="U91" s="79" t="s">
        <v>341</v>
      </c>
      <c r="V91" s="79" t="s">
        <v>333</v>
      </c>
      <c r="W91" s="79" t="e">
        <f t="shared" si="88"/>
        <v>#VALUE!</v>
      </c>
      <c r="X91" s="79" t="e">
        <f t="shared" si="115"/>
        <v>#VALUE!</v>
      </c>
      <c r="Y91" s="789" t="e">
        <f>AVERAGE(X91:X92)</f>
        <v>#VALUE!</v>
      </c>
      <c r="Z91" s="261" t="s">
        <v>387</v>
      </c>
      <c r="AA91" s="132" t="s">
        <v>341</v>
      </c>
      <c r="AB91" s="132">
        <v>24.972854614257813</v>
      </c>
      <c r="AC91" s="132">
        <f t="shared" si="89"/>
        <v>3.0368384100314629E-8</v>
      </c>
      <c r="AD91" s="520">
        <f>AC91/$AC$7</f>
        <v>0.28424584815940951</v>
      </c>
      <c r="AE91" s="672">
        <f>AVERAGE(AD91:AD92)</f>
        <v>0.24861133309632308</v>
      </c>
      <c r="AF91" s="261" t="s">
        <v>393</v>
      </c>
      <c r="AG91" s="132" t="s">
        <v>341</v>
      </c>
      <c r="AH91" s="132">
        <v>30.520133972167969</v>
      </c>
      <c r="AI91" s="132">
        <f t="shared" si="90"/>
        <v>6.494178218195091E-10</v>
      </c>
      <c r="AJ91" s="520">
        <f t="shared" si="118"/>
        <v>9.4766136755262201E-3</v>
      </c>
      <c r="AK91" s="672">
        <f>AVERAGE(AJ91:AJ92)</f>
        <v>1.3506088649614926E-2</v>
      </c>
      <c r="AL91" s="261" t="s">
        <v>400</v>
      </c>
      <c r="AM91" s="132" t="s">
        <v>341</v>
      </c>
      <c r="AN91" s="132">
        <v>24.031726837158203</v>
      </c>
      <c r="AO91" s="132">
        <f t="shared" si="91"/>
        <v>5.8308165045206252E-8</v>
      </c>
      <c r="AP91" s="520">
        <f t="shared" si="119"/>
        <v>0.64591970014173627</v>
      </c>
      <c r="AQ91" s="672">
        <f>AVERAGE(AP91:AP92)</f>
        <v>0.68789487268559657</v>
      </c>
      <c r="AR91" s="261" t="s">
        <v>406</v>
      </c>
      <c r="AS91" s="132" t="s">
        <v>341</v>
      </c>
      <c r="AT91" s="122">
        <v>20.335145950317383</v>
      </c>
      <c r="AU91" s="132">
        <f t="shared" si="92"/>
        <v>7.5598138677536122E-7</v>
      </c>
      <c r="AV91" s="79">
        <f t="shared" si="120"/>
        <v>14.867622901847355</v>
      </c>
      <c r="AW91" s="789">
        <f>AVERAGE(AV91:AV92)</f>
        <v>8.7000117136096335</v>
      </c>
      <c r="AX91" s="261" t="s">
        <v>350</v>
      </c>
      <c r="AY91" s="132" t="s">
        <v>427</v>
      </c>
      <c r="AZ91" s="132">
        <v>27.336845397949219</v>
      </c>
      <c r="BA91" s="132">
        <f t="shared" si="93"/>
        <v>5.8991514819757501E-9</v>
      </c>
      <c r="BB91" s="520">
        <f t="shared" si="121"/>
        <v>2.2536184179745549E-2</v>
      </c>
      <c r="BC91" s="672">
        <f>AVERAGE(BB91:BB92)</f>
        <v>2.1928399620292083E-2</v>
      </c>
      <c r="BD91" s="261" t="s">
        <v>430</v>
      </c>
      <c r="BE91" s="132" t="s">
        <v>427</v>
      </c>
      <c r="BF91" s="132">
        <v>28.599420547485352</v>
      </c>
      <c r="BG91" s="132">
        <f t="shared" si="94"/>
        <v>2.4587623628415706E-9</v>
      </c>
      <c r="BH91" s="520">
        <f t="shared" si="122"/>
        <v>4.2881839792995634E-3</v>
      </c>
      <c r="BI91" s="672">
        <f>AVERAGE(BH91:BH92)</f>
        <v>8.5331790583336575E-3</v>
      </c>
      <c r="BJ91" s="261" t="s">
        <v>440</v>
      </c>
      <c r="BK91" s="132" t="s">
        <v>443</v>
      </c>
      <c r="BL91" s="132" t="s">
        <v>333</v>
      </c>
      <c r="BM91" s="132" t="e">
        <f t="shared" si="95"/>
        <v>#VALUE!</v>
      </c>
      <c r="BN91" s="520" t="e">
        <f t="shared" si="123"/>
        <v>#VALUE!</v>
      </c>
      <c r="BO91" s="672" t="e">
        <f>AVERAGE(BN91:BN92)</f>
        <v>#VALUE!</v>
      </c>
      <c r="BP91" s="261" t="s">
        <v>359</v>
      </c>
      <c r="BQ91" s="132" t="s">
        <v>443</v>
      </c>
      <c r="BR91" s="132">
        <v>27.843111038208008</v>
      </c>
      <c r="BS91" s="132">
        <f t="shared" si="96"/>
        <v>4.1532531668983128E-9</v>
      </c>
      <c r="BT91" s="520">
        <f t="shared" si="124"/>
        <v>1.349417660594633E-2</v>
      </c>
      <c r="BU91" s="672">
        <f>AVERAGE(BT91:BT92)</f>
        <v>1.6967290294579444E-2</v>
      </c>
      <c r="BV91" s="261" t="s">
        <v>390</v>
      </c>
      <c r="BW91" s="132" t="s">
        <v>443</v>
      </c>
      <c r="BX91" s="132">
        <v>32.668453216552734</v>
      </c>
      <c r="BY91" s="132">
        <f t="shared" si="97"/>
        <v>1.4649259419663511E-10</v>
      </c>
      <c r="BZ91" s="520">
        <f t="shared" si="125"/>
        <v>1.0211923578400451E-4</v>
      </c>
      <c r="CA91" s="672">
        <f>AVERAGE(BZ91:BZ92)</f>
        <v>9.9746253850381555E-5</v>
      </c>
      <c r="CB91" s="261" t="s">
        <v>396</v>
      </c>
      <c r="CC91" s="132" t="s">
        <v>443</v>
      </c>
      <c r="CD91" s="132">
        <v>33.393501281738281</v>
      </c>
      <c r="CE91" s="132">
        <f t="shared" si="98"/>
        <v>8.8624633856711625E-11</v>
      </c>
      <c r="CF91" s="520">
        <f t="shared" si="126"/>
        <v>1.3044643041242656E-4</v>
      </c>
      <c r="CG91" s="672">
        <f>AVERAGE(CF91:CF92)</f>
        <v>1.0506157205767718E-4</v>
      </c>
      <c r="CH91" s="261" t="s">
        <v>403</v>
      </c>
      <c r="CI91" s="132" t="s">
        <v>443</v>
      </c>
      <c r="CJ91" s="132">
        <v>32.072765350341797</v>
      </c>
      <c r="CK91" s="132">
        <f t="shared" si="99"/>
        <v>2.2137857401209783E-10</v>
      </c>
      <c r="CL91" s="520">
        <f t="shared" si="127"/>
        <v>1.2293791349894067E-2</v>
      </c>
      <c r="CM91" s="672">
        <f>AVERAGE(CL91:CL92)</f>
        <v>9.8779319812254494E-3</v>
      </c>
    </row>
    <row r="92" spans="2:91" x14ac:dyDescent="0.25">
      <c r="B92" s="479" t="s">
        <v>350</v>
      </c>
      <c r="C92" s="132" t="s">
        <v>341</v>
      </c>
      <c r="D92" s="132">
        <v>10.468375205993652</v>
      </c>
      <c r="E92" s="122">
        <f t="shared" si="85"/>
        <v>7.0583803492461558E-4</v>
      </c>
      <c r="F92">
        <f t="shared" si="114"/>
        <v>2.900921831769419</v>
      </c>
      <c r="G92" s="789"/>
      <c r="H92" s="479">
        <v>28</v>
      </c>
      <c r="I92" s="132" t="s">
        <v>341</v>
      </c>
      <c r="J92" s="132">
        <v>16.520757675170898</v>
      </c>
      <c r="K92" s="122">
        <f t="shared" si="86"/>
        <v>1.0635462696941705E-5</v>
      </c>
      <c r="L92">
        <f t="shared" si="116"/>
        <v>0.73195633048527453</v>
      </c>
      <c r="M92" s="789"/>
      <c r="N92" s="490">
        <v>5</v>
      </c>
      <c r="O92" s="79" t="s">
        <v>341</v>
      </c>
      <c r="P92" s="79">
        <v>20.720804214477539</v>
      </c>
      <c r="Q92" s="79">
        <f t="shared" si="87"/>
        <v>5.7865058585598605E-7</v>
      </c>
      <c r="R92" s="79">
        <f t="shared" si="117"/>
        <v>0.87888102011265601</v>
      </c>
      <c r="S92" s="789"/>
      <c r="T92" s="257" t="s">
        <v>359</v>
      </c>
      <c r="U92" s="138" t="s">
        <v>341</v>
      </c>
      <c r="V92" s="138" t="s">
        <v>333</v>
      </c>
      <c r="W92" s="138" t="e">
        <f t="shared" si="88"/>
        <v>#VALUE!</v>
      </c>
      <c r="X92" s="138" t="e">
        <f t="shared" si="115"/>
        <v>#VALUE!</v>
      </c>
      <c r="Y92" s="794"/>
      <c r="Z92" s="261" t="s">
        <v>387</v>
      </c>
      <c r="AA92" s="132" t="s">
        <v>341</v>
      </c>
      <c r="AB92" s="132">
        <v>25.129562377929688</v>
      </c>
      <c r="AC92" s="132">
        <f t="shared" si="89"/>
        <v>2.724256189803432E-8</v>
      </c>
      <c r="AD92" s="520">
        <f>AC92/$AC$8</f>
        <v>0.21297681803323665</v>
      </c>
      <c r="AE92" s="672"/>
      <c r="AF92" s="261" t="s">
        <v>393</v>
      </c>
      <c r="AG92" s="132" t="s">
        <v>341</v>
      </c>
      <c r="AH92" s="132">
        <v>29.970712661743164</v>
      </c>
      <c r="AI92" s="132">
        <f t="shared" si="90"/>
        <v>9.5042203666766909E-10</v>
      </c>
      <c r="AJ92" s="520">
        <f t="shared" si="118"/>
        <v>1.7535563623703631E-2</v>
      </c>
      <c r="AK92" s="672"/>
      <c r="AL92" s="261" t="s">
        <v>400</v>
      </c>
      <c r="AM92" s="132" t="s">
        <v>341</v>
      </c>
      <c r="AN92" s="132">
        <v>23.980051040649414</v>
      </c>
      <c r="AO92" s="132">
        <f t="shared" si="91"/>
        <v>6.0434556476733055E-8</v>
      </c>
      <c r="AP92" s="520">
        <f t="shared" si="119"/>
        <v>0.72987004522945687</v>
      </c>
      <c r="AQ92" s="672"/>
      <c r="AR92" s="261" t="s">
        <v>406</v>
      </c>
      <c r="AS92" s="132" t="s">
        <v>341</v>
      </c>
      <c r="AT92" s="122">
        <v>21.560789108276367</v>
      </c>
      <c r="AU92" s="132">
        <f t="shared" si="92"/>
        <v>3.2326281331667649E-7</v>
      </c>
      <c r="AV92" s="79">
        <f t="shared" si="120"/>
        <v>2.5324005253719113</v>
      </c>
      <c r="AW92" s="789"/>
      <c r="AX92" s="261" t="s">
        <v>350</v>
      </c>
      <c r="AY92" s="132" t="s">
        <v>427</v>
      </c>
      <c r="AZ92" s="132">
        <v>27.576560974121094</v>
      </c>
      <c r="BA92" s="132">
        <f t="shared" si="93"/>
        <v>4.9960637290408631E-9</v>
      </c>
      <c r="BB92" s="520">
        <f t="shared" si="121"/>
        <v>2.132061506083862E-2</v>
      </c>
      <c r="BC92" s="672"/>
      <c r="BD92" s="261" t="s">
        <v>430</v>
      </c>
      <c r="BE92" s="132" t="s">
        <v>427</v>
      </c>
      <c r="BF92" s="132">
        <v>28.488420486450195</v>
      </c>
      <c r="BG92" s="132">
        <f t="shared" si="94"/>
        <v>2.655405830408721E-9</v>
      </c>
      <c r="BH92" s="520">
        <f t="shared" si="122"/>
        <v>1.2778174137367752E-2</v>
      </c>
      <c r="BI92" s="672"/>
      <c r="BJ92" s="261" t="s">
        <v>440</v>
      </c>
      <c r="BK92" s="132" t="s">
        <v>443</v>
      </c>
      <c r="BL92" s="132" t="s">
        <v>333</v>
      </c>
      <c r="BM92" s="132" t="e">
        <f t="shared" si="95"/>
        <v>#VALUE!</v>
      </c>
      <c r="BN92" s="520" t="e">
        <f t="shared" si="123"/>
        <v>#VALUE!</v>
      </c>
      <c r="BO92" s="672"/>
      <c r="BP92" s="261" t="s">
        <v>359</v>
      </c>
      <c r="BQ92" s="132" t="s">
        <v>443</v>
      </c>
      <c r="BR92" s="132">
        <v>27.936298370361328</v>
      </c>
      <c r="BS92" s="132">
        <f t="shared" si="96"/>
        <v>3.8934645312103886E-9</v>
      </c>
      <c r="BT92" s="520">
        <f t="shared" si="124"/>
        <v>2.0440403983212556E-2</v>
      </c>
      <c r="BU92" s="672"/>
      <c r="BV92" s="261" t="s">
        <v>390</v>
      </c>
      <c r="BW92" s="132" t="s">
        <v>443</v>
      </c>
      <c r="BX92" s="132">
        <v>32.870235443115234</v>
      </c>
      <c r="BY92" s="132">
        <f t="shared" si="97"/>
        <v>1.2737176505346428E-10</v>
      </c>
      <c r="BZ92" s="520">
        <f t="shared" si="125"/>
        <v>9.7373271916758605E-5</v>
      </c>
      <c r="CA92" s="672"/>
      <c r="CB92" s="261" t="s">
        <v>396</v>
      </c>
      <c r="CC92" s="132" t="s">
        <v>443</v>
      </c>
      <c r="CD92" s="132">
        <v>33.983730316162109</v>
      </c>
      <c r="CE92" s="132">
        <f t="shared" si="98"/>
        <v>5.8867800618505843E-11</v>
      </c>
      <c r="CF92" s="520">
        <f t="shared" si="126"/>
        <v>7.9676713702927785E-5</v>
      </c>
      <c r="CG92" s="672"/>
      <c r="CH92" s="261" t="s">
        <v>403</v>
      </c>
      <c r="CI92" s="132" t="s">
        <v>443</v>
      </c>
      <c r="CJ92" s="132">
        <v>33.261054992675781</v>
      </c>
      <c r="CK92" s="132">
        <f t="shared" si="99"/>
        <v>9.7145963451094389E-11</v>
      </c>
      <c r="CL92" s="520">
        <f t="shared" si="127"/>
        <v>7.4620726125568309E-3</v>
      </c>
      <c r="CM92" s="672"/>
    </row>
    <row r="93" spans="2:91" x14ac:dyDescent="0.25">
      <c r="B93" s="479" t="s">
        <v>351</v>
      </c>
      <c r="C93" s="132" t="s">
        <v>341</v>
      </c>
      <c r="D93" s="132">
        <v>31.902620315551758</v>
      </c>
      <c r="E93" s="122">
        <f t="shared" si="85"/>
        <v>2.4908888278089099E-10</v>
      </c>
      <c r="F93">
        <f t="shared" si="114"/>
        <v>2.2855215565497903E-6</v>
      </c>
      <c r="G93" s="789">
        <f>AVERAGE(F93:F94)</f>
        <v>1.6013206652118723</v>
      </c>
      <c r="H93" s="479" t="s">
        <v>334</v>
      </c>
      <c r="I93" s="132" t="s">
        <v>341</v>
      </c>
      <c r="J93" s="132">
        <v>17.799966812133789</v>
      </c>
      <c r="K93" s="122">
        <f t="shared" si="86"/>
        <v>4.3820372773937739E-6</v>
      </c>
      <c r="L93">
        <f t="shared" si="116"/>
        <v>0.77820683431654292</v>
      </c>
      <c r="M93" s="789">
        <f>AVERAGE(L93:L94)</f>
        <v>0.64841305375010405</v>
      </c>
      <c r="N93" s="490">
        <v>18</v>
      </c>
      <c r="O93" s="79" t="s">
        <v>341</v>
      </c>
      <c r="P93" s="79">
        <v>19.32960319519043</v>
      </c>
      <c r="Q93" s="79">
        <f t="shared" si="87"/>
        <v>1.5177828245021477E-6</v>
      </c>
      <c r="R93" s="79">
        <f t="shared" si="117"/>
        <v>1.5003137219776126</v>
      </c>
      <c r="S93" s="789">
        <f>AVERAGE(R93:R94)</f>
        <v>1.2688268749548983</v>
      </c>
      <c r="T93" s="496"/>
      <c r="U93" s="274"/>
      <c r="V93" s="274"/>
      <c r="W93" s="274"/>
      <c r="X93" s="274"/>
      <c r="Y93" s="484"/>
      <c r="Z93" s="261" t="s">
        <v>388</v>
      </c>
      <c r="AA93" s="132" t="s">
        <v>341</v>
      </c>
      <c r="AB93" s="132">
        <v>30.718404769897461</v>
      </c>
      <c r="AC93" s="132">
        <f t="shared" si="89"/>
        <v>5.6602908192433043E-10</v>
      </c>
      <c r="AD93" s="520">
        <f>AC93/$AC$9</f>
        <v>2.6517773990902896E-2</v>
      </c>
      <c r="AE93" s="672">
        <f>AVERAGE(AD93:AD94)</f>
        <v>2.7409196927635861E-2</v>
      </c>
      <c r="AF93" s="261" t="s">
        <v>394</v>
      </c>
      <c r="AG93" s="132" t="s">
        <v>341</v>
      </c>
      <c r="AH93" s="132">
        <v>31.381553649902344</v>
      </c>
      <c r="AI93" s="132">
        <f t="shared" si="90"/>
        <v>3.5744649332375606E-10</v>
      </c>
      <c r="AJ93" s="520">
        <f t="shared" si="118"/>
        <v>1.4547292266477753E-2</v>
      </c>
      <c r="AK93" s="672">
        <f>AVERAGE(AJ93:AJ94)</f>
        <v>1.7615456514505648E-2</v>
      </c>
      <c r="AL93" s="261" t="s">
        <v>401</v>
      </c>
      <c r="AM93" s="132" t="s">
        <v>341</v>
      </c>
      <c r="AN93" s="132">
        <v>29.120712280273438</v>
      </c>
      <c r="AO93" s="132">
        <f t="shared" si="91"/>
        <v>1.7131370534230285E-9</v>
      </c>
      <c r="AP93" s="520">
        <f t="shared" si="119"/>
        <v>6.5084781343965656E-2</v>
      </c>
      <c r="AQ93" s="672">
        <f>AVERAGE(AP93:AP94)</f>
        <v>0.11492193010279267</v>
      </c>
      <c r="AR93" s="261" t="s">
        <v>407</v>
      </c>
      <c r="AS93" s="132" t="s">
        <v>341</v>
      </c>
      <c r="AT93" s="122">
        <v>20.696950912475586</v>
      </c>
      <c r="AU93" s="132">
        <f t="shared" si="92"/>
        <v>5.8829743731545832E-7</v>
      </c>
      <c r="AV93" s="79">
        <f t="shared" si="120"/>
        <v>2.9421279109883498</v>
      </c>
      <c r="AW93" s="789">
        <f>AVERAGE(AV93:AV94)</f>
        <v>3.4876103480374643</v>
      </c>
      <c r="AX93" s="261" t="s">
        <v>351</v>
      </c>
      <c r="AY93" s="132" t="s">
        <v>427</v>
      </c>
      <c r="AZ93" s="132">
        <v>30.212440490722656</v>
      </c>
      <c r="BA93" s="132">
        <f t="shared" si="93"/>
        <v>8.0380216217178385E-10</v>
      </c>
      <c r="BB93" s="520">
        <f t="shared" si="121"/>
        <v>5.5800285550678475E-3</v>
      </c>
      <c r="BC93" s="672">
        <f>AVERAGE(BB93:BB94)</f>
        <v>3.7070984737313075E-3</v>
      </c>
      <c r="BD93" s="261" t="s">
        <v>334</v>
      </c>
      <c r="BE93" s="132" t="s">
        <v>427</v>
      </c>
      <c r="BF93" s="132">
        <v>29.813619613647461</v>
      </c>
      <c r="BG93" s="132">
        <f t="shared" si="94"/>
        <v>1.0597568123167843E-9</v>
      </c>
      <c r="BH93" s="520">
        <f t="shared" si="122"/>
        <v>4.2575831229653728E-3</v>
      </c>
      <c r="BI93" s="672">
        <f>AVERAGE(BH93:BH94)</f>
        <v>6.1140649860714595E-3</v>
      </c>
      <c r="BJ93" s="261" t="s">
        <v>441</v>
      </c>
      <c r="BK93" s="132" t="s">
        <v>443</v>
      </c>
      <c r="BL93" s="132">
        <v>27.92010498046875</v>
      </c>
      <c r="BM93" s="132">
        <f t="shared" si="95"/>
        <v>3.9374125280115333E-9</v>
      </c>
      <c r="BN93" s="520">
        <f t="shared" si="123"/>
        <v>8.0999771874829592E-3</v>
      </c>
      <c r="BO93" s="672">
        <f>AVERAGE(BN93:BN94)</f>
        <v>1.0534349882754056E-2</v>
      </c>
      <c r="BP93" s="261" t="s">
        <v>386</v>
      </c>
      <c r="BQ93" s="132" t="s">
        <v>443</v>
      </c>
      <c r="BR93" s="132">
        <v>35.685596466064453</v>
      </c>
      <c r="BS93" s="132">
        <f t="shared" si="96"/>
        <v>1.8095269289266211E-11</v>
      </c>
      <c r="BT93" s="520">
        <f t="shared" si="124"/>
        <v>9.5238643455148649E-3</v>
      </c>
      <c r="BU93" s="672">
        <f>AVERAGE(BT93:BT94)</f>
        <v>1.436367529075536E-2</v>
      </c>
      <c r="BV93" s="261" t="s">
        <v>392</v>
      </c>
      <c r="BW93" s="132" t="s">
        <v>443</v>
      </c>
      <c r="BX93" s="132">
        <v>33.731220245361328</v>
      </c>
      <c r="BY93" s="132">
        <f t="shared" si="97"/>
        <v>7.0127913204966514E-11</v>
      </c>
      <c r="BZ93" s="520">
        <f t="shared" si="125"/>
        <v>7.030631593237057E-5</v>
      </c>
      <c r="CA93" s="672">
        <f>AVERAGE(BZ93:BZ94)</f>
        <v>8.7560500450716168E-5</v>
      </c>
      <c r="CB93" s="261" t="s">
        <v>399</v>
      </c>
      <c r="CC93" s="132" t="s">
        <v>443</v>
      </c>
      <c r="CD93" s="132">
        <v>33.234790802001953</v>
      </c>
      <c r="CE93" s="132">
        <f t="shared" si="98"/>
        <v>9.8930697032187429E-11</v>
      </c>
      <c r="CF93" s="520">
        <f t="shared" si="126"/>
        <v>8.9950104419705268E-5</v>
      </c>
      <c r="CG93" s="672">
        <f>AVERAGE(CF93:CF94)</f>
        <v>9.9309251501773123E-5</v>
      </c>
      <c r="CH93" s="261" t="s">
        <v>405</v>
      </c>
      <c r="CI93" s="132" t="s">
        <v>443</v>
      </c>
      <c r="CJ93" s="132">
        <v>30.627132415771484</v>
      </c>
      <c r="CK93" s="132">
        <f t="shared" si="99"/>
        <v>6.0299604226665833E-10</v>
      </c>
      <c r="CL93" s="520">
        <f t="shared" si="127"/>
        <v>5.368712009777175E-3</v>
      </c>
      <c r="CM93" s="672">
        <f>AVERAGE(CL93:CL94)</f>
        <v>6.4786016342185913E-3</v>
      </c>
    </row>
    <row r="94" spans="2:91" x14ac:dyDescent="0.25">
      <c r="B94" s="479" t="s">
        <v>351</v>
      </c>
      <c r="C94" s="132" t="s">
        <v>341</v>
      </c>
      <c r="D94" s="132">
        <v>10.860367774963379</v>
      </c>
      <c r="E94" s="122">
        <f t="shared" si="85"/>
        <v>5.3790246661341006E-4</v>
      </c>
      <c r="F94">
        <f t="shared" si="114"/>
        <v>3.2026390449021882</v>
      </c>
      <c r="G94" s="789"/>
      <c r="H94" s="479" t="s">
        <v>334</v>
      </c>
      <c r="I94" s="132" t="s">
        <v>341</v>
      </c>
      <c r="J94" s="132">
        <v>18.188562393188477</v>
      </c>
      <c r="K94" s="122">
        <f t="shared" si="86"/>
        <v>3.3473193004798974E-6</v>
      </c>
      <c r="L94">
        <f t="shared" si="116"/>
        <v>0.51861927318366507</v>
      </c>
      <c r="M94" s="789"/>
      <c r="N94" s="490">
        <v>18</v>
      </c>
      <c r="O94" s="79" t="s">
        <v>341</v>
      </c>
      <c r="P94" s="79">
        <v>19.832973480224609</v>
      </c>
      <c r="Q94" s="79">
        <f t="shared" si="87"/>
        <v>1.0707302668087137E-6</v>
      </c>
      <c r="R94" s="79">
        <f t="shared" si="117"/>
        <v>1.0373400279321841</v>
      </c>
      <c r="S94" s="789"/>
      <c r="T94" s="496"/>
      <c r="U94" s="274"/>
      <c r="V94" s="274"/>
      <c r="W94" s="274"/>
      <c r="X94" s="274"/>
      <c r="Y94" s="484"/>
      <c r="Z94" s="261" t="s">
        <v>388</v>
      </c>
      <c r="AA94" s="132" t="s">
        <v>341</v>
      </c>
      <c r="AB94" s="132">
        <v>30.705818176269531</v>
      </c>
      <c r="AC94" s="132">
        <f t="shared" si="89"/>
        <v>5.7098892876278286E-10</v>
      </c>
      <c r="AD94" s="520">
        <f>AC94/$AC$10</f>
        <v>2.8300619864368829E-2</v>
      </c>
      <c r="AE94" s="672"/>
      <c r="AF94" s="261" t="s">
        <v>394</v>
      </c>
      <c r="AG94" s="132" t="s">
        <v>341</v>
      </c>
      <c r="AH94" s="132">
        <v>31.635881423950195</v>
      </c>
      <c r="AI94" s="132">
        <f t="shared" si="90"/>
        <v>2.9967516431051638E-10</v>
      </c>
      <c r="AJ94" s="520">
        <f t="shared" si="118"/>
        <v>2.0683620762533543E-2</v>
      </c>
      <c r="AK94" s="672"/>
      <c r="AL94" s="261" t="s">
        <v>401</v>
      </c>
      <c r="AM94" s="132" t="s">
        <v>341</v>
      </c>
      <c r="AN94" s="132">
        <v>28.489185333251953</v>
      </c>
      <c r="AO94" s="132">
        <f t="shared" si="91"/>
        <v>2.6539984363779364E-9</v>
      </c>
      <c r="AP94" s="520">
        <f t="shared" si="119"/>
        <v>0.1647590788616197</v>
      </c>
      <c r="AQ94" s="672"/>
      <c r="AR94" s="261" t="s">
        <v>407</v>
      </c>
      <c r="AS94" s="132" t="s">
        <v>341</v>
      </c>
      <c r="AT94" s="122">
        <v>20.910614013671875</v>
      </c>
      <c r="AU94" s="132">
        <f t="shared" si="92"/>
        <v>5.0731529279905678E-7</v>
      </c>
      <c r="AV94" s="79">
        <f t="shared" si="120"/>
        <v>4.0330927850865788</v>
      </c>
      <c r="AW94" s="789"/>
      <c r="AX94" s="261" t="s">
        <v>351</v>
      </c>
      <c r="AY94" s="132" t="s">
        <v>427</v>
      </c>
      <c r="AZ94" s="132">
        <v>30.993354797363281</v>
      </c>
      <c r="BA94" s="132">
        <f t="shared" si="93"/>
        <v>4.6781111875203849E-10</v>
      </c>
      <c r="BB94" s="520">
        <f t="shared" si="121"/>
        <v>1.8341683923947679E-3</v>
      </c>
      <c r="BC94" s="672"/>
      <c r="BD94" s="261" t="s">
        <v>334</v>
      </c>
      <c r="BE94" s="132" t="s">
        <v>427</v>
      </c>
      <c r="BF94" s="132">
        <v>29.421243667602539</v>
      </c>
      <c r="BG94" s="132">
        <f t="shared" si="94"/>
        <v>1.3909872407483293E-9</v>
      </c>
      <c r="BH94" s="520">
        <f t="shared" si="122"/>
        <v>7.9705468491775462E-3</v>
      </c>
      <c r="BI94" s="672"/>
      <c r="BJ94" s="261" t="s">
        <v>441</v>
      </c>
      <c r="BK94" s="132" t="s">
        <v>443</v>
      </c>
      <c r="BL94" s="132">
        <v>28.203901290893555</v>
      </c>
      <c r="BM94" s="132">
        <f t="shared" si="95"/>
        <v>3.2342956503270715E-9</v>
      </c>
      <c r="BN94" s="520">
        <f t="shared" si="123"/>
        <v>1.2968722578025152E-2</v>
      </c>
      <c r="BO94" s="672"/>
      <c r="BP94" s="261" t="s">
        <v>386</v>
      </c>
      <c r="BQ94" s="132" t="s">
        <v>443</v>
      </c>
      <c r="BR94" s="132">
        <v>34.507560729980469</v>
      </c>
      <c r="BS94" s="132">
        <f t="shared" si="96"/>
        <v>4.0943893894746878E-11</v>
      </c>
      <c r="BT94" s="520">
        <f t="shared" si="124"/>
        <v>1.9203486235995857E-2</v>
      </c>
      <c r="BU94" s="672"/>
      <c r="BV94" s="261" t="s">
        <v>392</v>
      </c>
      <c r="BW94" s="132" t="s">
        <v>443</v>
      </c>
      <c r="BX94" s="132">
        <v>32.912437438964844</v>
      </c>
      <c r="BY94" s="132">
        <f t="shared" si="97"/>
        <v>1.236998293381596E-10</v>
      </c>
      <c r="BZ94" s="520">
        <f t="shared" si="125"/>
        <v>1.0481468496906177E-4</v>
      </c>
      <c r="CA94" s="672"/>
      <c r="CB94" s="261" t="s">
        <v>399</v>
      </c>
      <c r="CC94" s="132" t="s">
        <v>443</v>
      </c>
      <c r="CD94" s="132">
        <v>33.350124359130859</v>
      </c>
      <c r="CE94" s="132">
        <f t="shared" si="98"/>
        <v>9.1329737369076454E-11</v>
      </c>
      <c r="CF94" s="520">
        <f t="shared" si="126"/>
        <v>1.0866839858384098E-4</v>
      </c>
      <c r="CG94" s="672"/>
      <c r="CH94" s="261" t="s">
        <v>405</v>
      </c>
      <c r="CI94" s="132" t="s">
        <v>443</v>
      </c>
      <c r="CJ94" s="132">
        <v>30.563684463500977</v>
      </c>
      <c r="CK94" s="132">
        <f t="shared" si="99"/>
        <v>6.3010684643980321E-10</v>
      </c>
      <c r="CL94" s="520">
        <f t="shared" si="127"/>
        <v>7.5884912586600085E-3</v>
      </c>
      <c r="CM94" s="672"/>
    </row>
    <row r="95" spans="2:91" x14ac:dyDescent="0.25">
      <c r="B95" s="479" t="s">
        <v>352</v>
      </c>
      <c r="C95" s="132" t="s">
        <v>341</v>
      </c>
      <c r="D95" s="132">
        <v>32.848133087158203</v>
      </c>
      <c r="E95" s="122">
        <f t="shared" si="85"/>
        <v>1.2933814836739817E-10</v>
      </c>
      <c r="F95">
        <f t="shared" si="114"/>
        <v>3.9102784503818826E-7</v>
      </c>
      <c r="G95" s="789">
        <f>AVERAGE(F95:F96)</f>
        <v>1.6705209427886871E-6</v>
      </c>
      <c r="H95" s="479">
        <v>19</v>
      </c>
      <c r="I95" s="132" t="s">
        <v>341</v>
      </c>
      <c r="J95" s="132">
        <v>16.875118255615234</v>
      </c>
      <c r="K95" s="122">
        <f t="shared" si="86"/>
        <v>8.3192317885976737E-6</v>
      </c>
      <c r="L95">
        <f t="shared" si="116"/>
        <v>1.324520244318238</v>
      </c>
      <c r="M95" s="789">
        <f>AVERAGE(L95:L96)</f>
        <v>1.3306908426646076</v>
      </c>
      <c r="N95" s="490">
        <v>4</v>
      </c>
      <c r="O95" s="79" t="s">
        <v>341</v>
      </c>
      <c r="P95" s="79">
        <v>21.877681732177734</v>
      </c>
      <c r="Q95" s="79">
        <f t="shared" si="87"/>
        <v>2.5951446090901231E-7</v>
      </c>
      <c r="R95" s="79">
        <f t="shared" si="117"/>
        <v>0.11076052844045696</v>
      </c>
      <c r="S95" s="789">
        <f>AVERAGE(R95:R96)</f>
        <v>0.25103776975255676</v>
      </c>
      <c r="T95" s="496"/>
      <c r="U95" s="274"/>
      <c r="V95" s="274"/>
      <c r="W95" s="274"/>
      <c r="X95" s="274"/>
      <c r="Y95" s="484"/>
      <c r="Z95" s="261" t="s">
        <v>389</v>
      </c>
      <c r="AA95" s="132" t="s">
        <v>341</v>
      </c>
      <c r="AB95" s="132">
        <v>31.043045043945313</v>
      </c>
      <c r="AC95" s="132">
        <f t="shared" si="89"/>
        <v>4.519727849457343E-10</v>
      </c>
      <c r="AD95" s="520">
        <f>AC95/$AC$11</f>
        <v>3.3799904825923537E-2</v>
      </c>
      <c r="AE95" s="672">
        <f>AVERAGE(AD95:AD96)</f>
        <v>3.9959106236325058E-2</v>
      </c>
      <c r="AF95" s="261" t="s">
        <v>395</v>
      </c>
      <c r="AG95" s="132" t="s">
        <v>341</v>
      </c>
      <c r="AH95" s="132">
        <v>31.505119323730469</v>
      </c>
      <c r="AI95" s="132">
        <f t="shared" si="90"/>
        <v>3.2810592013004705E-10</v>
      </c>
      <c r="AJ95" s="520">
        <f t="shared" si="118"/>
        <v>1.0431686040390374E-2</v>
      </c>
      <c r="AK95" s="672">
        <f>AVERAGE(AJ95:AJ96)</f>
        <v>8.7031025037863884E-3</v>
      </c>
      <c r="AL95" s="261" t="s">
        <v>402</v>
      </c>
      <c r="AM95" s="132" t="s">
        <v>341</v>
      </c>
      <c r="AN95" s="132">
        <v>21.883962631225586</v>
      </c>
      <c r="AO95" s="132">
        <f t="shared" si="91"/>
        <v>2.5838709782219495E-7</v>
      </c>
      <c r="AP95" s="520">
        <f t="shared" si="119"/>
        <v>1.0260667829657912</v>
      </c>
      <c r="AQ95" s="672">
        <f>AVERAGE(AP95:AP96)</f>
        <v>1.1678894810819265</v>
      </c>
      <c r="AR95" s="525" t="s">
        <v>360</v>
      </c>
      <c r="AS95" s="396" t="s">
        <v>360</v>
      </c>
      <c r="AT95" s="526" t="s">
        <v>360</v>
      </c>
      <c r="AU95" s="396"/>
      <c r="AV95" s="498"/>
      <c r="AW95" s="871"/>
      <c r="AX95" s="261" t="s">
        <v>352</v>
      </c>
      <c r="AY95" s="132" t="s">
        <v>427</v>
      </c>
      <c r="AZ95" s="132">
        <v>27.907791137695313</v>
      </c>
      <c r="BA95" s="132">
        <f t="shared" si="93"/>
        <v>3.9711633784333066E-9</v>
      </c>
      <c r="BB95" s="520">
        <f t="shared" si="121"/>
        <v>7.9215818951480534E-3</v>
      </c>
      <c r="BC95" s="672">
        <f>AVERAGE(BB95:BB96)</f>
        <v>7.9831332805780919E-3</v>
      </c>
      <c r="BD95" s="261" t="s">
        <v>431</v>
      </c>
      <c r="BE95" s="132" t="s">
        <v>427</v>
      </c>
      <c r="BF95" s="132">
        <v>29.431379318237305</v>
      </c>
      <c r="BG95" s="132">
        <f t="shared" si="94"/>
        <v>1.3812491108012778E-9</v>
      </c>
      <c r="BH95" s="520">
        <f t="shared" si="122"/>
        <v>8.4464244199188437E-3</v>
      </c>
      <c r="BI95" s="672">
        <f>AVERAGE(BH95:BH96)</f>
        <v>7.5584009001393006E-3</v>
      </c>
      <c r="BJ95" s="261" t="s">
        <v>442</v>
      </c>
      <c r="BK95" s="132" t="s">
        <v>443</v>
      </c>
      <c r="BL95" s="132">
        <v>27.83668327331543</v>
      </c>
      <c r="BM95" s="132">
        <f t="shared" si="95"/>
        <v>4.171798800844393E-9</v>
      </c>
      <c r="BN95" s="520">
        <f t="shared" si="123"/>
        <v>1.1064739854794663E-2</v>
      </c>
      <c r="BO95" s="672">
        <f>AVERAGE(BN95:BN96)</f>
        <v>1.242183330325259E-2</v>
      </c>
      <c r="BP95" s="261" t="s">
        <v>387</v>
      </c>
      <c r="BQ95" s="132" t="s">
        <v>443</v>
      </c>
      <c r="BR95" s="132">
        <v>31.9337158203125</v>
      </c>
      <c r="BS95" s="132">
        <f t="shared" si="96"/>
        <v>2.4377752590121353E-10</v>
      </c>
      <c r="BT95" s="520">
        <f t="shared" si="124"/>
        <v>9.9609572447091847E-3</v>
      </c>
      <c r="BU95" s="672">
        <f>AVERAGE(BT95:BT96)</f>
        <v>6.9053492551338982E-3</v>
      </c>
      <c r="BV95" s="261" t="s">
        <v>393</v>
      </c>
      <c r="BW95" s="132" t="s">
        <v>443</v>
      </c>
      <c r="BX95" s="132">
        <v>31.494358062744141</v>
      </c>
      <c r="BY95" s="132">
        <f t="shared" si="97"/>
        <v>3.3056245780894496E-10</v>
      </c>
      <c r="BZ95" s="520">
        <f t="shared" si="125"/>
        <v>1.487010341338135E-4</v>
      </c>
      <c r="CA95" s="672">
        <f>AVERAGE(BZ95:BZ96)</f>
        <v>1.4897174376734168E-4</v>
      </c>
      <c r="CB95" s="261" t="s">
        <v>400</v>
      </c>
      <c r="CC95" s="132" t="s">
        <v>443</v>
      </c>
      <c r="CD95" s="132">
        <v>31.023027420043945</v>
      </c>
      <c r="CE95" s="132">
        <f t="shared" si="98"/>
        <v>4.5828768829157634E-10</v>
      </c>
      <c r="CF95" s="520">
        <f t="shared" si="126"/>
        <v>1.922154776822969E-4</v>
      </c>
      <c r="CG95" s="672">
        <f>AVERAGE(CF95:CF96)</f>
        <v>1.8840243109008076E-4</v>
      </c>
      <c r="CH95" s="261" t="s">
        <v>406</v>
      </c>
      <c r="CI95" s="132" t="s">
        <v>443</v>
      </c>
      <c r="CJ95" s="132">
        <v>30.499963760375977</v>
      </c>
      <c r="CK95" s="132">
        <f t="shared" si="99"/>
        <v>6.5856105042893396E-10</v>
      </c>
      <c r="CL95" s="520">
        <f t="shared" si="127"/>
        <v>5.2549080692018153E-3</v>
      </c>
      <c r="CM95" s="672">
        <f>AVERAGE(CL95:CL96)</f>
        <v>4.4533455580910188E-3</v>
      </c>
    </row>
    <row r="96" spans="2:91" x14ac:dyDescent="0.25">
      <c r="B96" s="479" t="s">
        <v>352</v>
      </c>
      <c r="C96" s="132" t="s">
        <v>341</v>
      </c>
      <c r="D96" s="132">
        <v>31.484033584594727</v>
      </c>
      <c r="E96" s="122">
        <f t="shared" si="85"/>
        <v>3.3293657424688347E-10</v>
      </c>
      <c r="F96">
        <f t="shared" si="114"/>
        <v>2.9500140405391858E-6</v>
      </c>
      <c r="G96" s="789"/>
      <c r="H96" s="479">
        <v>19</v>
      </c>
      <c r="I96" s="132" t="s">
        <v>341</v>
      </c>
      <c r="J96" s="132">
        <v>16.756118774414063</v>
      </c>
      <c r="K96" s="122">
        <f t="shared" si="86"/>
        <v>9.0345315321029646E-6</v>
      </c>
      <c r="L96">
        <f t="shared" si="116"/>
        <v>1.3368614410109774</v>
      </c>
      <c r="M96" s="789"/>
      <c r="N96" s="490">
        <v>4</v>
      </c>
      <c r="O96" s="79" t="s">
        <v>341</v>
      </c>
      <c r="P96" s="79">
        <v>21.633663177490234</v>
      </c>
      <c r="Q96" s="79">
        <f t="shared" si="87"/>
        <v>3.0733956162847356E-7</v>
      </c>
      <c r="R96" s="79">
        <f t="shared" si="117"/>
        <v>0.3913150110646566</v>
      </c>
      <c r="S96" s="789"/>
      <c r="T96" s="496"/>
      <c r="U96" s="274"/>
      <c r="V96" s="274"/>
      <c r="W96" s="274"/>
      <c r="X96" s="274"/>
      <c r="Y96" s="484"/>
      <c r="Z96" s="261" t="s">
        <v>389</v>
      </c>
      <c r="AA96" s="132" t="s">
        <v>341</v>
      </c>
      <c r="AB96" s="132">
        <v>31.240049362182617</v>
      </c>
      <c r="AC96" s="132">
        <f t="shared" si="89"/>
        <v>3.9428302145054699E-10</v>
      </c>
      <c r="AD96" s="520">
        <f>AC96/$AC$12</f>
        <v>4.6118307646726579E-2</v>
      </c>
      <c r="AE96" s="672"/>
      <c r="AF96" s="261" t="s">
        <v>395</v>
      </c>
      <c r="AG96" s="132" t="s">
        <v>341</v>
      </c>
      <c r="AH96" s="132">
        <v>31.938749313354492</v>
      </c>
      <c r="AI96" s="132">
        <f t="shared" si="90"/>
        <v>2.429284799353865E-10</v>
      </c>
      <c r="AJ96" s="520">
        <f t="shared" si="118"/>
        <v>6.9745189671824017E-3</v>
      </c>
      <c r="AK96" s="672"/>
      <c r="AL96" s="261" t="s">
        <v>402</v>
      </c>
      <c r="AM96" s="132" t="s">
        <v>341</v>
      </c>
      <c r="AN96" s="132">
        <v>21.751171112060547</v>
      </c>
      <c r="AO96" s="132">
        <f t="shared" si="91"/>
        <v>2.8329900842574052E-7</v>
      </c>
      <c r="AP96" s="520">
        <f t="shared" si="119"/>
        <v>1.3097121791980615</v>
      </c>
      <c r="AQ96" s="672"/>
      <c r="AR96" s="523" t="s">
        <v>360</v>
      </c>
      <c r="AS96" s="272" t="s">
        <v>360</v>
      </c>
      <c r="AT96" s="527" t="s">
        <v>360</v>
      </c>
      <c r="AU96" s="272"/>
      <c r="AV96" s="274"/>
      <c r="AW96" s="872"/>
      <c r="AX96" s="261" t="s">
        <v>352</v>
      </c>
      <c r="AY96" s="132" t="s">
        <v>427</v>
      </c>
      <c r="AZ96" s="132">
        <v>27.878532409667969</v>
      </c>
      <c r="BA96" s="132">
        <f t="shared" si="93"/>
        <v>4.0525231982310678E-9</v>
      </c>
      <c r="BB96" s="520">
        <f t="shared" si="121"/>
        <v>8.0446846660081287E-3</v>
      </c>
      <c r="BC96" s="672"/>
      <c r="BD96" s="261" t="s">
        <v>431</v>
      </c>
      <c r="BE96" s="132" t="s">
        <v>427</v>
      </c>
      <c r="BF96" s="132">
        <v>29.514192581176758</v>
      </c>
      <c r="BG96" s="132">
        <f t="shared" si="94"/>
        <v>1.3041956137526118E-9</v>
      </c>
      <c r="BH96" s="520">
        <f t="shared" si="122"/>
        <v>6.6703773803597575E-3</v>
      </c>
      <c r="BI96" s="672"/>
      <c r="BJ96" s="261" t="s">
        <v>442</v>
      </c>
      <c r="BK96" s="132" t="s">
        <v>443</v>
      </c>
      <c r="BL96" s="132">
        <v>28.158298492431641</v>
      </c>
      <c r="BM96" s="132">
        <f t="shared" si="95"/>
        <v>3.3381629060939207E-9</v>
      </c>
      <c r="BN96" s="520">
        <f t="shared" si="123"/>
        <v>1.3778926751710517E-2</v>
      </c>
      <c r="BO96" s="672"/>
      <c r="BP96" s="261" t="s">
        <v>387</v>
      </c>
      <c r="BQ96" s="132" t="s">
        <v>443</v>
      </c>
      <c r="BR96" s="132">
        <v>31.954004287719727</v>
      </c>
      <c r="BS96" s="132">
        <f t="shared" si="96"/>
        <v>2.403733011283538E-10</v>
      </c>
      <c r="BT96" s="520">
        <f t="shared" si="124"/>
        <v>3.8497412655586127E-3</v>
      </c>
      <c r="BU96" s="672"/>
      <c r="BV96" s="261" t="s">
        <v>393</v>
      </c>
      <c r="BW96" s="132" t="s">
        <v>443</v>
      </c>
      <c r="BX96" s="132">
        <v>32.177295684814453</v>
      </c>
      <c r="BY96" s="132">
        <f t="shared" si="97"/>
        <v>2.0590591351685127E-10</v>
      </c>
      <c r="BZ96" s="520">
        <f t="shared" si="125"/>
        <v>1.4924245340086989E-4</v>
      </c>
      <c r="CA96" s="672"/>
      <c r="CB96" s="261" t="s">
        <v>400</v>
      </c>
      <c r="CC96" s="132" t="s">
        <v>443</v>
      </c>
      <c r="CD96" s="132">
        <v>31.912067413330078</v>
      </c>
      <c r="CE96" s="132">
        <f t="shared" si="98"/>
        <v>2.474631204294155E-10</v>
      </c>
      <c r="CF96" s="520">
        <f t="shared" si="126"/>
        <v>1.8458938449786462E-4</v>
      </c>
      <c r="CG96" s="672"/>
      <c r="CH96" s="261" t="s">
        <v>406</v>
      </c>
      <c r="CI96" s="132" t="s">
        <v>443</v>
      </c>
      <c r="CJ96" s="132">
        <v>30.915338516235352</v>
      </c>
      <c r="CK96" s="132">
        <f t="shared" si="99"/>
        <v>4.9380533822049751E-10</v>
      </c>
      <c r="CL96" s="520">
        <f t="shared" si="127"/>
        <v>3.6517830469802227E-3</v>
      </c>
      <c r="CM96" s="672"/>
    </row>
    <row r="97" spans="2:91" x14ac:dyDescent="0.25">
      <c r="B97" s="479" t="s">
        <v>353</v>
      </c>
      <c r="C97" s="132" t="s">
        <v>341</v>
      </c>
      <c r="D97" s="132">
        <v>12.2640380859375</v>
      </c>
      <c r="E97" s="122">
        <f t="shared" si="85"/>
        <v>2.033090299291382E-4</v>
      </c>
      <c r="F97">
        <f t="shared" si="114"/>
        <v>84.052398700440236</v>
      </c>
      <c r="G97" s="789">
        <f>AVERAGE(F97:F98)</f>
        <v>42.026246897516145</v>
      </c>
      <c r="H97" s="479">
        <v>20</v>
      </c>
      <c r="I97" s="132" t="s">
        <v>341</v>
      </c>
      <c r="J97" s="132">
        <v>17.494468688964844</v>
      </c>
      <c r="K97" s="122">
        <f t="shared" si="86"/>
        <v>5.4155200293742435E-6</v>
      </c>
      <c r="L97">
        <f t="shared" si="116"/>
        <v>0.73977031089795009</v>
      </c>
      <c r="M97" s="789">
        <f>AVERAGE(L97:L98)</f>
        <v>0.76617948824939242</v>
      </c>
      <c r="N97" s="490" t="s">
        <v>356</v>
      </c>
      <c r="O97" s="79" t="s">
        <v>341</v>
      </c>
      <c r="P97" s="79">
        <v>18.941280364990234</v>
      </c>
      <c r="Q97" s="79">
        <f t="shared" si="87"/>
        <v>1.9865818067542672E-6</v>
      </c>
      <c r="R97" s="79">
        <f t="shared" si="117"/>
        <v>2.3107491813743035</v>
      </c>
      <c r="S97" s="789">
        <f>AVERAGE(R97:R98)</f>
        <v>2.2338074121100675</v>
      </c>
      <c r="T97" s="496"/>
      <c r="U97" s="274"/>
      <c r="V97" s="274"/>
      <c r="W97" s="274"/>
      <c r="X97" s="274"/>
      <c r="Y97" s="484"/>
      <c r="Z97" s="261" t="s">
        <v>390</v>
      </c>
      <c r="AA97" s="132" t="s">
        <v>341</v>
      </c>
      <c r="AB97" s="132">
        <v>29.755502700805664</v>
      </c>
      <c r="AC97" s="132">
        <f t="shared" si="89"/>
        <v>1.1033191368548206E-9</v>
      </c>
      <c r="AD97" s="520">
        <f>AC97/$AC$13</f>
        <v>2.8362797789691464E-2</v>
      </c>
      <c r="AE97" s="672">
        <f>AVERAGE(AD97:AD98)</f>
        <v>3.2759493086373263E-2</v>
      </c>
      <c r="AF97" s="261" t="s">
        <v>396</v>
      </c>
      <c r="AG97" s="132" t="s">
        <v>341</v>
      </c>
      <c r="AH97" s="132">
        <v>32.237720489501953</v>
      </c>
      <c r="AI97" s="132">
        <f t="shared" si="90"/>
        <v>1.9746000370580824E-10</v>
      </c>
      <c r="AJ97" s="520">
        <f t="shared" si="118"/>
        <v>8.3851965588734693E-3</v>
      </c>
      <c r="AK97" s="672">
        <f>AVERAGE(AJ97:AJ98)</f>
        <v>6.6210152447222729E-3</v>
      </c>
      <c r="AL97" s="261" t="s">
        <v>403</v>
      </c>
      <c r="AM97" s="132" t="s">
        <v>341</v>
      </c>
      <c r="AN97" s="132">
        <v>28.274654388427734</v>
      </c>
      <c r="AO97" s="132">
        <f t="shared" si="91"/>
        <v>3.0795049892740858E-9</v>
      </c>
      <c r="AP97" s="520">
        <f t="shared" si="119"/>
        <v>0.13570892358688924</v>
      </c>
      <c r="AQ97" s="672">
        <f>AVERAGE(AP97:AP98)</f>
        <v>9.754716733516583E-2</v>
      </c>
      <c r="AR97" s="523" t="s">
        <v>360</v>
      </c>
      <c r="AS97" s="272" t="s">
        <v>360</v>
      </c>
      <c r="AT97" s="527" t="s">
        <v>360</v>
      </c>
      <c r="AU97" s="272"/>
      <c r="AV97" s="274"/>
      <c r="AW97" s="872"/>
      <c r="AX97" s="261" t="s">
        <v>353</v>
      </c>
      <c r="AY97" s="132" t="s">
        <v>427</v>
      </c>
      <c r="AZ97" s="132">
        <v>28.80668830871582</v>
      </c>
      <c r="BA97" s="132">
        <f t="shared" si="93"/>
        <v>2.1297211475139938E-9</v>
      </c>
      <c r="BB97" s="520">
        <f t="shared" si="121"/>
        <v>2.1345462642526312E-2</v>
      </c>
      <c r="BC97" s="672">
        <f>AVERAGE(BB97:BB98)</f>
        <v>1.9638664319386514E-2</v>
      </c>
      <c r="BD97" s="261" t="s">
        <v>432</v>
      </c>
      <c r="BE97" s="132" t="s">
        <v>427</v>
      </c>
      <c r="BF97" s="132">
        <v>28.920984268188477</v>
      </c>
      <c r="BG97" s="132">
        <f t="shared" si="94"/>
        <v>1.9675067507472929E-9</v>
      </c>
      <c r="BH97" s="520">
        <f t="shared" si="122"/>
        <v>3.7988282498776617E-3</v>
      </c>
      <c r="BI97" s="672">
        <f>AVERAGE(BH97:BH98)</f>
        <v>5.6207013700269072E-3</v>
      </c>
      <c r="BJ97" s="261" t="s">
        <v>356</v>
      </c>
      <c r="BK97" s="132" t="s">
        <v>443</v>
      </c>
      <c r="BL97" s="132">
        <v>26.883697509765625</v>
      </c>
      <c r="BM97" s="132">
        <f t="shared" si="95"/>
        <v>8.0760807973547342E-9</v>
      </c>
      <c r="BN97" s="520">
        <f t="shared" si="123"/>
        <v>2.1273594002414405E-2</v>
      </c>
      <c r="BO97" s="672">
        <f>AVERAGE(BN97:BN98)</f>
        <v>1.5751541428113726E-2</v>
      </c>
      <c r="BP97" s="261" t="s">
        <v>388</v>
      </c>
      <c r="BQ97" s="132" t="s">
        <v>443</v>
      </c>
      <c r="BR97" s="132">
        <v>36.91949462890625</v>
      </c>
      <c r="BS97" s="132">
        <f t="shared" si="96"/>
        <v>7.6935129996320954E-12</v>
      </c>
      <c r="BT97" s="520">
        <f t="shared" si="124"/>
        <v>9.1492010087529461E-4</v>
      </c>
      <c r="BU97" s="672">
        <f>AVERAGE(BT97:BT98)</f>
        <v>4.484937365760739E-3</v>
      </c>
      <c r="BV97" s="261" t="s">
        <v>394</v>
      </c>
      <c r="BW97" s="132" t="s">
        <v>443</v>
      </c>
      <c r="BX97" s="132">
        <v>34.824478149414063</v>
      </c>
      <c r="BY97" s="132">
        <f t="shared" si="97"/>
        <v>3.2869075856987679E-11</v>
      </c>
      <c r="BZ97" s="520">
        <f t="shared" si="125"/>
        <v>1.0339118235407121E-4</v>
      </c>
      <c r="CA97" s="672">
        <f>AVERAGE(BZ97:BZ98)</f>
        <v>9.8051941955458417E-5</v>
      </c>
      <c r="CB97" s="261" t="s">
        <v>401</v>
      </c>
      <c r="CC97" s="132" t="s">
        <v>443</v>
      </c>
      <c r="CD97" s="132" t="s">
        <v>333</v>
      </c>
      <c r="CE97" s="132" t="e">
        <f t="shared" si="98"/>
        <v>#VALUE!</v>
      </c>
      <c r="CF97" s="520" t="e">
        <f t="shared" si="126"/>
        <v>#VALUE!</v>
      </c>
      <c r="CG97" s="672">
        <f>AVERAGE(CF98)</f>
        <v>5.9618270278644704E-5</v>
      </c>
      <c r="CH97" s="261" t="s">
        <v>407</v>
      </c>
      <c r="CI97" s="132" t="s">
        <v>443</v>
      </c>
      <c r="CJ97" s="132">
        <v>30.947439193725586</v>
      </c>
      <c r="CK97" s="132">
        <f t="shared" si="99"/>
        <v>4.8293926154358561E-10</v>
      </c>
      <c r="CL97" s="520">
        <f t="shared" si="127"/>
        <v>4.5762698212460295E-3</v>
      </c>
      <c r="CM97" s="672">
        <f>AVERAGE(CL97:CL98)</f>
        <v>4.6156680519385818E-3</v>
      </c>
    </row>
    <row r="98" spans="2:91" ht="15.75" thickBot="1" x14ac:dyDescent="0.3">
      <c r="B98" s="480" t="s">
        <v>353</v>
      </c>
      <c r="C98" s="203" t="s">
        <v>341</v>
      </c>
      <c r="D98" s="203">
        <v>28.947076797485352</v>
      </c>
      <c r="E98" s="123">
        <f t="shared" si="85"/>
        <v>1.9322423527732432E-9</v>
      </c>
      <c r="F98" s="6">
        <f t="shared" si="114"/>
        <v>9.5094592048448442E-5</v>
      </c>
      <c r="G98" s="790"/>
      <c r="H98" s="480">
        <v>20</v>
      </c>
      <c r="I98" s="203" t="s">
        <v>341</v>
      </c>
      <c r="J98" s="203">
        <v>17.203374862670898</v>
      </c>
      <c r="K98" s="123">
        <f t="shared" si="86"/>
        <v>6.6262549197819139E-6</v>
      </c>
      <c r="L98" s="6">
        <f t="shared" si="116"/>
        <v>0.79258866560083474</v>
      </c>
      <c r="M98" s="790"/>
      <c r="N98" s="491" t="s">
        <v>356</v>
      </c>
      <c r="O98" s="82" t="s">
        <v>341</v>
      </c>
      <c r="P98" s="82">
        <v>18.712003707885742</v>
      </c>
      <c r="Q98" s="82">
        <f t="shared" si="87"/>
        <v>2.3287646764863123E-6</v>
      </c>
      <c r="R98" s="82">
        <f t="shared" si="117"/>
        <v>2.156865642845831</v>
      </c>
      <c r="S98" s="790"/>
      <c r="T98" s="497"/>
      <c r="U98" s="493"/>
      <c r="V98" s="493"/>
      <c r="W98" s="493"/>
      <c r="X98" s="493"/>
      <c r="Y98" s="485"/>
      <c r="Z98" s="262" t="s">
        <v>390</v>
      </c>
      <c r="AA98" s="203" t="s">
        <v>341</v>
      </c>
      <c r="AB98" s="203">
        <v>29.675579071044922</v>
      </c>
      <c r="AC98" s="203">
        <f t="shared" si="89"/>
        <v>1.1661664985429952E-9</v>
      </c>
      <c r="AD98" s="521">
        <f>AC98/$AC$14</f>
        <v>3.7156188383055067E-2</v>
      </c>
      <c r="AE98" s="703"/>
      <c r="AF98" s="262" t="s">
        <v>396</v>
      </c>
      <c r="AG98" s="203" t="s">
        <v>341</v>
      </c>
      <c r="AH98" s="203">
        <v>32.539691925048828</v>
      </c>
      <c r="AI98" s="203">
        <f t="shared" si="90"/>
        <v>1.6016834234702684E-10</v>
      </c>
      <c r="AJ98" s="521">
        <f t="shared" si="118"/>
        <v>4.8568339305710773E-3</v>
      </c>
      <c r="AK98" s="703"/>
      <c r="AL98" s="262" t="s">
        <v>403</v>
      </c>
      <c r="AM98" s="203" t="s">
        <v>341</v>
      </c>
      <c r="AN98" s="203">
        <v>29.279401779174805</v>
      </c>
      <c r="AO98" s="203">
        <f t="shared" si="91"/>
        <v>1.534694050026652E-9</v>
      </c>
      <c r="AP98" s="521">
        <f t="shared" si="119"/>
        <v>5.9385411083442433E-2</v>
      </c>
      <c r="AQ98" s="703"/>
      <c r="AR98" s="524" t="s">
        <v>360</v>
      </c>
      <c r="AS98" s="278" t="s">
        <v>360</v>
      </c>
      <c r="AT98" s="528" t="s">
        <v>360</v>
      </c>
      <c r="AU98" s="278"/>
      <c r="AV98" s="493"/>
      <c r="AW98" s="873"/>
      <c r="AX98" s="262" t="s">
        <v>353</v>
      </c>
      <c r="AY98" s="203" t="s">
        <v>427</v>
      </c>
      <c r="AZ98" s="203">
        <v>28.800359725952148</v>
      </c>
      <c r="BA98" s="203">
        <f t="shared" si="93"/>
        <v>2.1390839866821689E-9</v>
      </c>
      <c r="BB98" s="521">
        <f t="shared" si="121"/>
        <v>1.7931865996246715E-2</v>
      </c>
      <c r="BC98" s="703"/>
      <c r="BD98" s="262" t="s">
        <v>432</v>
      </c>
      <c r="BE98" s="203" t="s">
        <v>427</v>
      </c>
      <c r="BF98" s="203">
        <v>29.919412612915039</v>
      </c>
      <c r="BG98" s="203">
        <f t="shared" si="94"/>
        <v>9.8482564886560271E-10</v>
      </c>
      <c r="BH98" s="521">
        <f t="shared" si="122"/>
        <v>7.4425744901761518E-3</v>
      </c>
      <c r="BI98" s="703"/>
      <c r="BJ98" s="262" t="s">
        <v>444</v>
      </c>
      <c r="BK98" s="203" t="s">
        <v>443</v>
      </c>
      <c r="BL98" s="203">
        <v>27.889137268066406</v>
      </c>
      <c r="BM98" s="203">
        <f t="shared" si="95"/>
        <v>4.0228434213266034E-9</v>
      </c>
      <c r="BN98" s="521">
        <f t="shared" si="123"/>
        <v>1.022948885381305E-2</v>
      </c>
      <c r="BO98" s="703"/>
      <c r="BP98" s="262" t="s">
        <v>388</v>
      </c>
      <c r="BQ98" s="203" t="s">
        <v>443</v>
      </c>
      <c r="BR98" s="203">
        <v>34.288524627685547</v>
      </c>
      <c r="BS98" s="203">
        <f t="shared" si="96"/>
        <v>4.7656877086331225E-11</v>
      </c>
      <c r="BT98" s="521">
        <f t="shared" si="124"/>
        <v>8.0549546306461842E-3</v>
      </c>
      <c r="BU98" s="703"/>
      <c r="BV98" s="262" t="s">
        <v>394</v>
      </c>
      <c r="BW98" s="203" t="s">
        <v>443</v>
      </c>
      <c r="BX98" s="203">
        <v>34.93560791015625</v>
      </c>
      <c r="BY98" s="203">
        <f t="shared" si="97"/>
        <v>3.0432252753813834E-11</v>
      </c>
      <c r="BZ98" s="521">
        <f t="shared" si="125"/>
        <v>9.2712701556845619E-5</v>
      </c>
      <c r="CA98" s="703"/>
      <c r="CB98" s="262" t="s">
        <v>401</v>
      </c>
      <c r="CC98" s="203" t="s">
        <v>443</v>
      </c>
      <c r="CD98" s="203">
        <v>34.196750640869141</v>
      </c>
      <c r="CE98" s="203">
        <f t="shared" si="98"/>
        <v>5.0786969963326736E-11</v>
      </c>
      <c r="CF98" s="521">
        <f t="shared" si="126"/>
        <v>5.9618270278644704E-5</v>
      </c>
      <c r="CG98" s="703"/>
      <c r="CH98" s="262" t="s">
        <v>407</v>
      </c>
      <c r="CI98" s="203" t="s">
        <v>443</v>
      </c>
      <c r="CJ98" s="203">
        <v>30.959753036499023</v>
      </c>
      <c r="CK98" s="203">
        <f t="shared" si="99"/>
        <v>4.7883476892369682E-10</v>
      </c>
      <c r="CL98" s="521">
        <f t="shared" si="127"/>
        <v>4.655066282631134E-3</v>
      </c>
      <c r="CM98" s="703"/>
    </row>
  </sheetData>
  <mergeCells count="519">
    <mergeCell ref="BI79:BI80"/>
    <mergeCell ref="BI81:BI82"/>
    <mergeCell ref="BI83:BI84"/>
    <mergeCell ref="BI85:BI86"/>
    <mergeCell ref="BI89:BI90"/>
    <mergeCell ref="BI91:BI92"/>
    <mergeCell ref="BI93:BI94"/>
    <mergeCell ref="BI95:BI96"/>
    <mergeCell ref="BI97:BI98"/>
    <mergeCell ref="BI57:BI58"/>
    <mergeCell ref="BI59:BI60"/>
    <mergeCell ref="BI61:BI62"/>
    <mergeCell ref="BI65:BI66"/>
    <mergeCell ref="BI67:BI68"/>
    <mergeCell ref="BI69:BI70"/>
    <mergeCell ref="BI71:BI72"/>
    <mergeCell ref="BI73:BI74"/>
    <mergeCell ref="BI77:BI78"/>
    <mergeCell ref="BI35:BI36"/>
    <mergeCell ref="BI37:BI38"/>
    <mergeCell ref="BI41:BI42"/>
    <mergeCell ref="BI43:BI44"/>
    <mergeCell ref="BI45:BI46"/>
    <mergeCell ref="BI47:BI48"/>
    <mergeCell ref="BI49:BI50"/>
    <mergeCell ref="BI53:BI54"/>
    <mergeCell ref="BI55:BI56"/>
    <mergeCell ref="BD1:BI1"/>
    <mergeCell ref="BI17:BI18"/>
    <mergeCell ref="BI19:BI20"/>
    <mergeCell ref="BI21:BI22"/>
    <mergeCell ref="BI23:BI24"/>
    <mergeCell ref="BI25:BI26"/>
    <mergeCell ref="BI29:BI30"/>
    <mergeCell ref="BI31:BI32"/>
    <mergeCell ref="BI33:BI34"/>
    <mergeCell ref="BC79:BC80"/>
    <mergeCell ref="BC81:BC82"/>
    <mergeCell ref="BC83:BC84"/>
    <mergeCell ref="BC85:BC86"/>
    <mergeCell ref="BC89:BC90"/>
    <mergeCell ref="BC91:BC92"/>
    <mergeCell ref="BC93:BC94"/>
    <mergeCell ref="BC95:BC96"/>
    <mergeCell ref="BC97:BC98"/>
    <mergeCell ref="BC57:BC58"/>
    <mergeCell ref="BC59:BC60"/>
    <mergeCell ref="BC61:BC62"/>
    <mergeCell ref="BC65:BC66"/>
    <mergeCell ref="BC67:BC68"/>
    <mergeCell ref="BC69:BC70"/>
    <mergeCell ref="BC71:BC72"/>
    <mergeCell ref="BC73:BC74"/>
    <mergeCell ref="BC77:BC78"/>
    <mergeCell ref="BC35:BC36"/>
    <mergeCell ref="BC37:BC38"/>
    <mergeCell ref="BC41:BC42"/>
    <mergeCell ref="BC43:BC44"/>
    <mergeCell ref="BC45:BC46"/>
    <mergeCell ref="BC47:BC48"/>
    <mergeCell ref="BC49:BC50"/>
    <mergeCell ref="BC53:BC54"/>
    <mergeCell ref="BC55:BC56"/>
    <mergeCell ref="AX1:BC1"/>
    <mergeCell ref="BC17:BC18"/>
    <mergeCell ref="BC19:BC20"/>
    <mergeCell ref="BC21:BC22"/>
    <mergeCell ref="BC23:BC24"/>
    <mergeCell ref="BC25:BC26"/>
    <mergeCell ref="BC29:BC30"/>
    <mergeCell ref="BC31:BC32"/>
    <mergeCell ref="BC33:BC34"/>
    <mergeCell ref="Y67:Y68"/>
    <mergeCell ref="Y77:Y78"/>
    <mergeCell ref="Y79:Y80"/>
    <mergeCell ref="Y89:Y90"/>
    <mergeCell ref="Y91:Y92"/>
    <mergeCell ref="Y41:Y42"/>
    <mergeCell ref="Y43:Y44"/>
    <mergeCell ref="Y53:Y54"/>
    <mergeCell ref="Y55:Y56"/>
    <mergeCell ref="Y65:Y66"/>
    <mergeCell ref="T1:Y1"/>
    <mergeCell ref="Y17:Y18"/>
    <mergeCell ref="Y19:Y20"/>
    <mergeCell ref="Y29:Y30"/>
    <mergeCell ref="Y31:Y32"/>
    <mergeCell ref="S89:S90"/>
    <mergeCell ref="S91:S92"/>
    <mergeCell ref="S93:S94"/>
    <mergeCell ref="S95:S96"/>
    <mergeCell ref="S53:S54"/>
    <mergeCell ref="S55:S56"/>
    <mergeCell ref="S57:S58"/>
    <mergeCell ref="S59:S60"/>
    <mergeCell ref="S61:S62"/>
    <mergeCell ref="S41:S42"/>
    <mergeCell ref="S43:S44"/>
    <mergeCell ref="S45:S46"/>
    <mergeCell ref="S47:S48"/>
    <mergeCell ref="S49:S50"/>
    <mergeCell ref="S29:S30"/>
    <mergeCell ref="S31:S32"/>
    <mergeCell ref="S33:S34"/>
    <mergeCell ref="S35:S36"/>
    <mergeCell ref="S37:S38"/>
    <mergeCell ref="S97:S98"/>
    <mergeCell ref="S77:S78"/>
    <mergeCell ref="S79:S80"/>
    <mergeCell ref="S81:S82"/>
    <mergeCell ref="S83:S84"/>
    <mergeCell ref="S85:S86"/>
    <mergeCell ref="S65:S66"/>
    <mergeCell ref="S67:S68"/>
    <mergeCell ref="S69:S70"/>
    <mergeCell ref="S71:S72"/>
    <mergeCell ref="S73:S74"/>
    <mergeCell ref="H1:M1"/>
    <mergeCell ref="G25:G26"/>
    <mergeCell ref="G23:G24"/>
    <mergeCell ref="G21:G22"/>
    <mergeCell ref="N1:S1"/>
    <mergeCell ref="S17:S18"/>
    <mergeCell ref="S19:S20"/>
    <mergeCell ref="S21:S22"/>
    <mergeCell ref="S23:S24"/>
    <mergeCell ref="S25:S26"/>
    <mergeCell ref="G69:G70"/>
    <mergeCell ref="B1:G1"/>
    <mergeCell ref="G17:G18"/>
    <mergeCell ref="G53:G54"/>
    <mergeCell ref="G55:G56"/>
    <mergeCell ref="G57:G58"/>
    <mergeCell ref="G59:G60"/>
    <mergeCell ref="G61:G62"/>
    <mergeCell ref="G65:G66"/>
    <mergeCell ref="G67:G68"/>
    <mergeCell ref="G43:G44"/>
    <mergeCell ref="G45:G46"/>
    <mergeCell ref="G47:G48"/>
    <mergeCell ref="G49:G50"/>
    <mergeCell ref="G97:G98"/>
    <mergeCell ref="G71:G72"/>
    <mergeCell ref="G73:G74"/>
    <mergeCell ref="G77:G78"/>
    <mergeCell ref="G79:G80"/>
    <mergeCell ref="G81:G82"/>
    <mergeCell ref="G83:G84"/>
    <mergeCell ref="G85:G86"/>
    <mergeCell ref="G89:G90"/>
    <mergeCell ref="G91:G92"/>
    <mergeCell ref="G93:G94"/>
    <mergeCell ref="G95:G96"/>
    <mergeCell ref="M41:M42"/>
    <mergeCell ref="G19:G20"/>
    <mergeCell ref="M17:M18"/>
    <mergeCell ref="M19:M20"/>
    <mergeCell ref="M21:M22"/>
    <mergeCell ref="M23:M24"/>
    <mergeCell ref="M25:M26"/>
    <mergeCell ref="M29:M30"/>
    <mergeCell ref="M31:M32"/>
    <mergeCell ref="M33:M34"/>
    <mergeCell ref="M35:M36"/>
    <mergeCell ref="M37:M38"/>
    <mergeCell ref="G29:G30"/>
    <mergeCell ref="G31:G32"/>
    <mergeCell ref="G33:G34"/>
    <mergeCell ref="G35:G36"/>
    <mergeCell ref="G37:G38"/>
    <mergeCell ref="G41:G42"/>
    <mergeCell ref="M69:M70"/>
    <mergeCell ref="M43:M44"/>
    <mergeCell ref="M45:M46"/>
    <mergeCell ref="M47:M48"/>
    <mergeCell ref="M49:M50"/>
    <mergeCell ref="M53:M54"/>
    <mergeCell ref="M55:M56"/>
    <mergeCell ref="M57:M58"/>
    <mergeCell ref="M59:M60"/>
    <mergeCell ref="M61:M62"/>
    <mergeCell ref="M65:M66"/>
    <mergeCell ref="M67:M68"/>
    <mergeCell ref="M97:M98"/>
    <mergeCell ref="M71:M72"/>
    <mergeCell ref="M73:M74"/>
    <mergeCell ref="M77:M78"/>
    <mergeCell ref="M79:M80"/>
    <mergeCell ref="M81:M82"/>
    <mergeCell ref="M83:M84"/>
    <mergeCell ref="M85:M86"/>
    <mergeCell ref="M89:M90"/>
    <mergeCell ref="M91:M92"/>
    <mergeCell ref="M93:M94"/>
    <mergeCell ref="M95:M96"/>
    <mergeCell ref="Z1:AE1"/>
    <mergeCell ref="AE17:AE18"/>
    <mergeCell ref="AE19:AE20"/>
    <mergeCell ref="AE21:AE22"/>
    <mergeCell ref="AE23:AE24"/>
    <mergeCell ref="AE25:AE26"/>
    <mergeCell ref="AE29:AE30"/>
    <mergeCell ref="AE31:AE32"/>
    <mergeCell ref="AE33:AE34"/>
    <mergeCell ref="AE35:AE36"/>
    <mergeCell ref="AE37:AE38"/>
    <mergeCell ref="AE41:AE42"/>
    <mergeCell ref="AE43:AE44"/>
    <mergeCell ref="AE45:AE46"/>
    <mergeCell ref="AE47:AE48"/>
    <mergeCell ref="AE49:AE50"/>
    <mergeCell ref="AE53:AE54"/>
    <mergeCell ref="AE55:AE56"/>
    <mergeCell ref="AE57:AE58"/>
    <mergeCell ref="AE59:AE60"/>
    <mergeCell ref="AE61:AE62"/>
    <mergeCell ref="AE65:AE66"/>
    <mergeCell ref="AE67:AE68"/>
    <mergeCell ref="AE69:AE70"/>
    <mergeCell ref="AE71:AE72"/>
    <mergeCell ref="AE73:AE74"/>
    <mergeCell ref="AE77:AE78"/>
    <mergeCell ref="AE79:AE80"/>
    <mergeCell ref="AE81:AE82"/>
    <mergeCell ref="AE83:AE84"/>
    <mergeCell ref="AE85:AE86"/>
    <mergeCell ref="AE89:AE90"/>
    <mergeCell ref="AE91:AE92"/>
    <mergeCell ref="AE93:AE94"/>
    <mergeCell ref="AE95:AE96"/>
    <mergeCell ref="AE97:AE98"/>
    <mergeCell ref="AF1:AK1"/>
    <mergeCell ref="AK17:AK18"/>
    <mergeCell ref="AK19:AK20"/>
    <mergeCell ref="AK21:AK22"/>
    <mergeCell ref="AK23:AK24"/>
    <mergeCell ref="AK25:AK26"/>
    <mergeCell ref="AK29:AK30"/>
    <mergeCell ref="AK31:AK32"/>
    <mergeCell ref="AK33:AK34"/>
    <mergeCell ref="AK35:AK36"/>
    <mergeCell ref="AK37:AK38"/>
    <mergeCell ref="AK41:AK42"/>
    <mergeCell ref="AK43:AK44"/>
    <mergeCell ref="AK45:AK46"/>
    <mergeCell ref="AK47:AK48"/>
    <mergeCell ref="AK49:AK50"/>
    <mergeCell ref="AK53:AK54"/>
    <mergeCell ref="AK55:AK56"/>
    <mergeCell ref="AK57:AK58"/>
    <mergeCell ref="AK59:AK60"/>
    <mergeCell ref="AK61:AK62"/>
    <mergeCell ref="AK65:AK66"/>
    <mergeCell ref="AK67:AK68"/>
    <mergeCell ref="AK69:AK70"/>
    <mergeCell ref="AK71:AK72"/>
    <mergeCell ref="AK73:AK74"/>
    <mergeCell ref="AK77:AK78"/>
    <mergeCell ref="AK79:AK80"/>
    <mergeCell ref="AK81:AK82"/>
    <mergeCell ref="AK83:AK84"/>
    <mergeCell ref="AK85:AK86"/>
    <mergeCell ref="AK89:AK90"/>
    <mergeCell ref="AK91:AK92"/>
    <mergeCell ref="AK93:AK94"/>
    <mergeCell ref="AK95:AK96"/>
    <mergeCell ref="AK97:AK98"/>
    <mergeCell ref="AL1:AQ1"/>
    <mergeCell ref="AQ17:AQ18"/>
    <mergeCell ref="AQ19:AQ20"/>
    <mergeCell ref="AQ21:AQ22"/>
    <mergeCell ref="AQ23:AQ24"/>
    <mergeCell ref="AQ25:AQ26"/>
    <mergeCell ref="AQ29:AQ30"/>
    <mergeCell ref="AQ31:AQ32"/>
    <mergeCell ref="AQ33:AQ34"/>
    <mergeCell ref="AQ35:AQ36"/>
    <mergeCell ref="AQ37:AQ38"/>
    <mergeCell ref="AQ41:AQ42"/>
    <mergeCell ref="AQ43:AQ44"/>
    <mergeCell ref="AQ45:AQ46"/>
    <mergeCell ref="AQ47:AQ48"/>
    <mergeCell ref="AQ49:AQ50"/>
    <mergeCell ref="AQ53:AQ54"/>
    <mergeCell ref="AQ55:AQ56"/>
    <mergeCell ref="AQ57:AQ58"/>
    <mergeCell ref="AQ59:AQ60"/>
    <mergeCell ref="AQ61:AQ62"/>
    <mergeCell ref="AQ65:AQ66"/>
    <mergeCell ref="AQ67:AQ68"/>
    <mergeCell ref="AQ69:AQ70"/>
    <mergeCell ref="AQ71:AQ72"/>
    <mergeCell ref="AQ73:AQ74"/>
    <mergeCell ref="AQ77:AQ78"/>
    <mergeCell ref="AQ79:AQ80"/>
    <mergeCell ref="AQ81:AQ82"/>
    <mergeCell ref="AQ83:AQ84"/>
    <mergeCell ref="AQ85:AQ86"/>
    <mergeCell ref="AQ89:AQ90"/>
    <mergeCell ref="AQ91:AQ92"/>
    <mergeCell ref="AQ93:AQ94"/>
    <mergeCell ref="AQ95:AQ96"/>
    <mergeCell ref="AQ97:AQ98"/>
    <mergeCell ref="AR1:AW1"/>
    <mergeCell ref="AW17:AW18"/>
    <mergeCell ref="AW19:AW20"/>
    <mergeCell ref="AW21:AW22"/>
    <mergeCell ref="AW23:AW24"/>
    <mergeCell ref="AW25:AW26"/>
    <mergeCell ref="AW29:AW30"/>
    <mergeCell ref="AW31:AW32"/>
    <mergeCell ref="AW33:AW34"/>
    <mergeCell ref="AW35:AW36"/>
    <mergeCell ref="AW37:AW38"/>
    <mergeCell ref="AW41:AW42"/>
    <mergeCell ref="AW43:AW44"/>
    <mergeCell ref="AW45:AW46"/>
    <mergeCell ref="AW47:AW48"/>
    <mergeCell ref="AW49:AW50"/>
    <mergeCell ref="AW53:AW54"/>
    <mergeCell ref="AW55:AW56"/>
    <mergeCell ref="AW57:AW58"/>
    <mergeCell ref="AW59:AW60"/>
    <mergeCell ref="AW61:AW62"/>
    <mergeCell ref="AW65:AW66"/>
    <mergeCell ref="AW67:AW68"/>
    <mergeCell ref="AW69:AW70"/>
    <mergeCell ref="AW71:AW72"/>
    <mergeCell ref="AW73:AW74"/>
    <mergeCell ref="AW77:AW78"/>
    <mergeCell ref="AW79:AW80"/>
    <mergeCell ref="AW81:AW82"/>
    <mergeCell ref="AW83:AW84"/>
    <mergeCell ref="AW85:AW86"/>
    <mergeCell ref="AW89:AW90"/>
    <mergeCell ref="AW91:AW92"/>
    <mergeCell ref="AW93:AW94"/>
    <mergeCell ref="AW95:AW96"/>
    <mergeCell ref="AW97:AW98"/>
    <mergeCell ref="BJ1:BO1"/>
    <mergeCell ref="BO17:BO18"/>
    <mergeCell ref="BO19:BO20"/>
    <mergeCell ref="BO21:BO22"/>
    <mergeCell ref="BO23:BO24"/>
    <mergeCell ref="BO25:BO26"/>
    <mergeCell ref="BO29:BO30"/>
    <mergeCell ref="BO31:BO32"/>
    <mergeCell ref="BO33:BO34"/>
    <mergeCell ref="BO35:BO36"/>
    <mergeCell ref="BO37:BO38"/>
    <mergeCell ref="BO41:BO42"/>
    <mergeCell ref="BO43:BO44"/>
    <mergeCell ref="BO45:BO46"/>
    <mergeCell ref="BO47:BO48"/>
    <mergeCell ref="BO49:BO50"/>
    <mergeCell ref="BO53:BO54"/>
    <mergeCell ref="BO55:BO56"/>
    <mergeCell ref="BO57:BO58"/>
    <mergeCell ref="BO59:BO60"/>
    <mergeCell ref="BO61:BO62"/>
    <mergeCell ref="BO65:BO66"/>
    <mergeCell ref="BO67:BO68"/>
    <mergeCell ref="BO69:BO70"/>
    <mergeCell ref="BO71:BO72"/>
    <mergeCell ref="BO73:BO74"/>
    <mergeCell ref="BO77:BO78"/>
    <mergeCell ref="BO79:BO80"/>
    <mergeCell ref="BO81:BO82"/>
    <mergeCell ref="BO83:BO84"/>
    <mergeCell ref="BO85:BO86"/>
    <mergeCell ref="BO89:BO90"/>
    <mergeCell ref="BO91:BO92"/>
    <mergeCell ref="BO93:BO94"/>
    <mergeCell ref="BO95:BO96"/>
    <mergeCell ref="BO97:BO98"/>
    <mergeCell ref="BP1:BU1"/>
    <mergeCell ref="BU17:BU18"/>
    <mergeCell ref="BU19:BU20"/>
    <mergeCell ref="BU21:BU22"/>
    <mergeCell ref="BU23:BU24"/>
    <mergeCell ref="BU25:BU26"/>
    <mergeCell ref="BU29:BU30"/>
    <mergeCell ref="BU31:BU32"/>
    <mergeCell ref="BU33:BU34"/>
    <mergeCell ref="BU35:BU36"/>
    <mergeCell ref="BU37:BU38"/>
    <mergeCell ref="BU41:BU42"/>
    <mergeCell ref="BU43:BU44"/>
    <mergeCell ref="BU45:BU46"/>
    <mergeCell ref="BU47:BU48"/>
    <mergeCell ref="BU49:BU50"/>
    <mergeCell ref="BU53:BU54"/>
    <mergeCell ref="BU55:BU56"/>
    <mergeCell ref="BU57:BU58"/>
    <mergeCell ref="BU59:BU60"/>
    <mergeCell ref="BU61:BU62"/>
    <mergeCell ref="BU65:BU66"/>
    <mergeCell ref="BU67:BU68"/>
    <mergeCell ref="BU69:BU70"/>
    <mergeCell ref="BU71:BU72"/>
    <mergeCell ref="BU73:BU74"/>
    <mergeCell ref="BU77:BU78"/>
    <mergeCell ref="BU79:BU80"/>
    <mergeCell ref="BU81:BU82"/>
    <mergeCell ref="BU83:BU84"/>
    <mergeCell ref="BU85:BU86"/>
    <mergeCell ref="BU89:BU90"/>
    <mergeCell ref="BU91:BU92"/>
    <mergeCell ref="BU93:BU94"/>
    <mergeCell ref="BU95:BU96"/>
    <mergeCell ref="BU97:BU98"/>
    <mergeCell ref="BV1:CA1"/>
    <mergeCell ref="CA17:CA18"/>
    <mergeCell ref="CA19:CA20"/>
    <mergeCell ref="CA21:CA22"/>
    <mergeCell ref="CA23:CA24"/>
    <mergeCell ref="CA25:CA26"/>
    <mergeCell ref="CA29:CA30"/>
    <mergeCell ref="CA31:CA32"/>
    <mergeCell ref="CA33:CA34"/>
    <mergeCell ref="CA35:CA36"/>
    <mergeCell ref="CA37:CA38"/>
    <mergeCell ref="CA41:CA42"/>
    <mergeCell ref="CA43:CA44"/>
    <mergeCell ref="CA45:CA46"/>
    <mergeCell ref="CA47:CA48"/>
    <mergeCell ref="CA49:CA50"/>
    <mergeCell ref="CA53:CA54"/>
    <mergeCell ref="CA55:CA56"/>
    <mergeCell ref="CA57:CA58"/>
    <mergeCell ref="CA59:CA60"/>
    <mergeCell ref="CA61:CA62"/>
    <mergeCell ref="CA65:CA66"/>
    <mergeCell ref="CA67:CA68"/>
    <mergeCell ref="CA69:CA70"/>
    <mergeCell ref="CA71:CA72"/>
    <mergeCell ref="CA73:CA74"/>
    <mergeCell ref="CA77:CA78"/>
    <mergeCell ref="CA79:CA80"/>
    <mergeCell ref="CA81:CA82"/>
    <mergeCell ref="CA83:CA84"/>
    <mergeCell ref="CA85:CA86"/>
    <mergeCell ref="CA89:CA90"/>
    <mergeCell ref="CA91:CA92"/>
    <mergeCell ref="CA93:CA94"/>
    <mergeCell ref="CA95:CA96"/>
    <mergeCell ref="CA97:CA98"/>
    <mergeCell ref="CB1:CG1"/>
    <mergeCell ref="CG17:CG18"/>
    <mergeCell ref="CG19:CG20"/>
    <mergeCell ref="CG21:CG22"/>
    <mergeCell ref="CG23:CG24"/>
    <mergeCell ref="CG25:CG26"/>
    <mergeCell ref="CG29:CG30"/>
    <mergeCell ref="CG31:CG32"/>
    <mergeCell ref="CG33:CG34"/>
    <mergeCell ref="CG35:CG36"/>
    <mergeCell ref="CG37:CG38"/>
    <mergeCell ref="CG41:CG42"/>
    <mergeCell ref="CG43:CG44"/>
    <mergeCell ref="CG45:CG46"/>
    <mergeCell ref="CG47:CG48"/>
    <mergeCell ref="CG49:CG50"/>
    <mergeCell ref="CG53:CG54"/>
    <mergeCell ref="CG55:CG56"/>
    <mergeCell ref="CG57:CG58"/>
    <mergeCell ref="CG59:CG60"/>
    <mergeCell ref="CG61:CG62"/>
    <mergeCell ref="CG65:CG66"/>
    <mergeCell ref="CG67:CG68"/>
    <mergeCell ref="CG69:CG70"/>
    <mergeCell ref="CG71:CG72"/>
    <mergeCell ref="CG73:CG74"/>
    <mergeCell ref="CG77:CG78"/>
    <mergeCell ref="CG79:CG80"/>
    <mergeCell ref="CG81:CG82"/>
    <mergeCell ref="CG83:CG84"/>
    <mergeCell ref="CG85:CG86"/>
    <mergeCell ref="CG89:CG90"/>
    <mergeCell ref="CG91:CG92"/>
    <mergeCell ref="CG93:CG94"/>
    <mergeCell ref="CG95:CG96"/>
    <mergeCell ref="CG97:CG98"/>
    <mergeCell ref="CH1:CM1"/>
    <mergeCell ref="CM17:CM18"/>
    <mergeCell ref="CM19:CM20"/>
    <mergeCell ref="CM21:CM22"/>
    <mergeCell ref="CM23:CM24"/>
    <mergeCell ref="CM25:CM26"/>
    <mergeCell ref="CM29:CM30"/>
    <mergeCell ref="CM31:CM32"/>
    <mergeCell ref="CM33:CM34"/>
    <mergeCell ref="CM35:CM36"/>
    <mergeCell ref="CM37:CM38"/>
    <mergeCell ref="CM41:CM42"/>
    <mergeCell ref="CM43:CM44"/>
    <mergeCell ref="CM45:CM46"/>
    <mergeCell ref="CM47:CM48"/>
    <mergeCell ref="CM49:CM50"/>
    <mergeCell ref="CM53:CM54"/>
    <mergeCell ref="CM55:CM56"/>
    <mergeCell ref="CM57:CM58"/>
    <mergeCell ref="CM59:CM60"/>
    <mergeCell ref="CM61:CM62"/>
    <mergeCell ref="CM65:CM66"/>
    <mergeCell ref="CM67:CM68"/>
    <mergeCell ref="CM69:CM70"/>
    <mergeCell ref="CM71:CM72"/>
    <mergeCell ref="CM73:CM74"/>
    <mergeCell ref="CM77:CM78"/>
    <mergeCell ref="CM79:CM80"/>
    <mergeCell ref="CM81:CM82"/>
    <mergeCell ref="CM83:CM84"/>
    <mergeCell ref="CM85:CM86"/>
    <mergeCell ref="CM89:CM90"/>
    <mergeCell ref="CM91:CM92"/>
    <mergeCell ref="CM93:CM94"/>
    <mergeCell ref="CM95:CM96"/>
    <mergeCell ref="CM97:CM98"/>
  </mergeCells>
  <hyperlinks>
    <hyperlink ref="A1" location="'Table of Contents'!A1" display="Table of Contents" xr:uid="{344E1A83-A4C9-4F1B-990B-4D31C57705F5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4511-D9B5-4FF0-B30C-A1DA6C9014CB}">
  <dimension ref="A1:T49"/>
  <sheetViews>
    <sheetView tabSelected="1" workbookViewId="0">
      <selection activeCell="Q33" sqref="Q33"/>
    </sheetView>
  </sheetViews>
  <sheetFormatPr defaultRowHeight="15" x14ac:dyDescent="0.25"/>
  <cols>
    <col min="1" max="1" width="15.28515625" customWidth="1"/>
    <col min="2" max="2" width="11.28515625" customWidth="1"/>
    <col min="3" max="3" width="11" customWidth="1"/>
    <col min="4" max="6" width="7.28515625" customWidth="1"/>
    <col min="7" max="7" width="11.28515625" customWidth="1"/>
    <col min="8" max="8" width="11.42578125" customWidth="1"/>
    <col min="9" max="9" width="14.28515625" customWidth="1"/>
    <col min="10" max="10" width="16.5703125" customWidth="1"/>
    <col min="11" max="11" width="18.5703125" customWidth="1"/>
    <col min="12" max="12" width="13.7109375" customWidth="1"/>
    <col min="15" max="15" width="12.7109375" customWidth="1"/>
    <col min="16" max="16" width="11.7109375" customWidth="1"/>
    <col min="17" max="17" width="14.42578125" customWidth="1"/>
    <col min="18" max="18" width="16.5703125" customWidth="1"/>
    <col min="19" max="19" width="18.7109375" customWidth="1"/>
    <col min="20" max="20" width="13" customWidth="1"/>
  </cols>
  <sheetData>
    <row r="1" spans="1:20" ht="15.75" thickBot="1" x14ac:dyDescent="0.3">
      <c r="A1" s="38" t="s">
        <v>9</v>
      </c>
      <c r="B1" s="554" t="s">
        <v>235</v>
      </c>
      <c r="C1" s="555" t="s">
        <v>10</v>
      </c>
      <c r="D1" s="556" t="s">
        <v>322</v>
      </c>
      <c r="E1" s="557" t="s">
        <v>254</v>
      </c>
      <c r="F1" s="557" t="s">
        <v>473</v>
      </c>
      <c r="G1" s="557" t="s">
        <v>472</v>
      </c>
      <c r="H1" s="557" t="s">
        <v>453</v>
      </c>
      <c r="I1" s="557" t="s">
        <v>451</v>
      </c>
      <c r="J1" s="557" t="s">
        <v>452</v>
      </c>
      <c r="K1" s="557" t="s">
        <v>454</v>
      </c>
      <c r="L1" s="558" t="s">
        <v>455</v>
      </c>
    </row>
    <row r="2" spans="1:20" ht="15.75" thickBot="1" x14ac:dyDescent="0.3">
      <c r="B2" s="627" t="s">
        <v>456</v>
      </c>
      <c r="C2" s="702" t="s">
        <v>143</v>
      </c>
      <c r="D2" s="561" t="s">
        <v>462</v>
      </c>
      <c r="E2" s="561">
        <v>0.660330392841743</v>
      </c>
      <c r="F2" s="561">
        <v>0.28015954066758703</v>
      </c>
      <c r="G2" s="561">
        <v>0.145296979120979</v>
      </c>
      <c r="H2" s="202">
        <v>46.751800000000003</v>
      </c>
      <c r="I2" s="202">
        <v>105.5994</v>
      </c>
      <c r="J2" s="202">
        <v>3.8359000000000001</v>
      </c>
      <c r="K2" s="202">
        <v>10.565099999999999</v>
      </c>
      <c r="L2" s="4">
        <v>0.13739999999999999</v>
      </c>
    </row>
    <row r="3" spans="1:20" ht="15.75" thickBot="1" x14ac:dyDescent="0.3">
      <c r="B3" s="628"/>
      <c r="C3" s="672"/>
      <c r="D3" s="132" t="s">
        <v>463</v>
      </c>
      <c r="E3" s="132">
        <v>0.77809977038393097</v>
      </c>
      <c r="F3" s="132">
        <v>0.47604512085213102</v>
      </c>
      <c r="G3" s="132">
        <v>0.29091980433617498</v>
      </c>
      <c r="H3" s="132">
        <v>36.909700000000001</v>
      </c>
      <c r="I3" s="132">
        <v>33.157899999999998</v>
      </c>
      <c r="J3" s="132">
        <v>2.4116</v>
      </c>
      <c r="K3" s="132">
        <v>5.6039000000000003</v>
      </c>
      <c r="L3" s="4">
        <v>0.2107</v>
      </c>
      <c r="O3" s="704" t="s">
        <v>415</v>
      </c>
      <c r="P3" s="705"/>
      <c r="Q3" s="705"/>
      <c r="R3" s="705"/>
      <c r="S3" s="705"/>
      <c r="T3" s="706"/>
    </row>
    <row r="4" spans="1:20" ht="15.75" thickBot="1" x14ac:dyDescent="0.3">
      <c r="B4" s="628"/>
      <c r="C4" s="672"/>
      <c r="D4" s="132" t="s">
        <v>464</v>
      </c>
      <c r="E4" s="132">
        <v>0.71642279649707497</v>
      </c>
      <c r="F4" s="132">
        <v>0.61747029333556702</v>
      </c>
      <c r="G4" s="132">
        <v>0.34743642398991798</v>
      </c>
      <c r="H4" s="132">
        <v>31.432600000000001</v>
      </c>
      <c r="I4" s="132">
        <v>80.129599999999996</v>
      </c>
      <c r="J4" s="132">
        <v>6.96</v>
      </c>
      <c r="K4" s="132">
        <v>8.8317999999999994</v>
      </c>
      <c r="L4" s="4">
        <v>0.1552</v>
      </c>
      <c r="O4" s="450" t="s">
        <v>10</v>
      </c>
      <c r="P4" s="557" t="s">
        <v>453</v>
      </c>
      <c r="Q4" s="557" t="s">
        <v>451</v>
      </c>
      <c r="R4" s="557" t="s">
        <v>452</v>
      </c>
      <c r="S4" s="557" t="s">
        <v>454</v>
      </c>
      <c r="T4" s="558" t="s">
        <v>455</v>
      </c>
    </row>
    <row r="5" spans="1:20" x14ac:dyDescent="0.25">
      <c r="B5" s="628"/>
      <c r="C5" s="672"/>
      <c r="D5" s="562" t="s">
        <v>465</v>
      </c>
      <c r="E5" s="562"/>
      <c r="F5" s="562"/>
      <c r="G5" s="562"/>
      <c r="H5" s="421"/>
      <c r="I5" s="421"/>
      <c r="J5" s="421"/>
      <c r="K5" s="421"/>
      <c r="L5" s="112"/>
      <c r="O5" s="563" t="s">
        <v>92</v>
      </c>
      <c r="P5" s="202">
        <f>AVERAGE(H20:H27)</f>
        <v>26.262049999999999</v>
      </c>
      <c r="Q5" s="202">
        <f>AVERAGE(I20:I27)</f>
        <v>72.992428571428576</v>
      </c>
      <c r="R5" s="202">
        <f>AVERAGE(J20:J27)</f>
        <v>4.3769428571428568</v>
      </c>
      <c r="S5" s="202">
        <f>AVERAGE(K20:K27)</f>
        <v>8.3102571428571412</v>
      </c>
      <c r="T5" s="9">
        <f>AVERAGE(L20:L27)</f>
        <v>0.18911428571428573</v>
      </c>
    </row>
    <row r="6" spans="1:20" x14ac:dyDescent="0.25">
      <c r="B6" s="628"/>
      <c r="C6" s="672"/>
      <c r="D6" s="421" t="s">
        <v>466</v>
      </c>
      <c r="E6" s="421"/>
      <c r="F6" s="421"/>
      <c r="G6" s="421"/>
      <c r="H6" s="421"/>
      <c r="I6" s="421"/>
      <c r="J6" s="421"/>
      <c r="K6" s="421"/>
      <c r="L6" s="112"/>
      <c r="O6" s="89" t="s">
        <v>143</v>
      </c>
      <c r="P6" s="132">
        <f>AVERAGE(H2:H4,H7:H11)</f>
        <v>40.415099999999995</v>
      </c>
      <c r="Q6" s="132">
        <f>AVERAGE(I2:I4,I7:I11)</f>
        <v>85.750737499999985</v>
      </c>
      <c r="R6" s="132">
        <f>AVERAGE(J2:J4,J7:J11)</f>
        <v>5.9429249999999998</v>
      </c>
      <c r="S6" s="132">
        <f>AVERAGE(K2:K4,K7:K11)</f>
        <v>12.255062500000001</v>
      </c>
      <c r="T6" s="4">
        <f>AVERAGE(L2:L4,L7:L11)</f>
        <v>0.23622500000000002</v>
      </c>
    </row>
    <row r="7" spans="1:20" x14ac:dyDescent="0.25">
      <c r="B7" s="628"/>
      <c r="C7" s="672"/>
      <c r="D7" s="132" t="s">
        <v>467</v>
      </c>
      <c r="E7" s="132">
        <v>0.47982800181082003</v>
      </c>
      <c r="F7" s="132">
        <v>0.552587977772379</v>
      </c>
      <c r="G7" s="132">
        <v>0.208246112285457</v>
      </c>
      <c r="H7" s="132">
        <v>45.832299999999996</v>
      </c>
      <c r="I7" s="132">
        <v>94.744799999999998</v>
      </c>
      <c r="J7" s="132">
        <v>4.9325999999999999</v>
      </c>
      <c r="K7" s="132">
        <v>11.141299999999999</v>
      </c>
      <c r="L7" s="4">
        <v>0.19239999999999999</v>
      </c>
      <c r="O7" s="343" t="s">
        <v>149</v>
      </c>
      <c r="P7" s="134">
        <f>AVERAGE(H42:H49)</f>
        <v>25.627485714285715</v>
      </c>
      <c r="Q7" s="134">
        <f>AVERAGE(I42:I49)</f>
        <v>112.6185625</v>
      </c>
      <c r="R7" s="134">
        <f>AVERAGE(J42:J49)</f>
        <v>4.5245500000000005</v>
      </c>
      <c r="S7" s="134">
        <f>AVERAGE(K42:K49)</f>
        <v>12.725937499999999</v>
      </c>
      <c r="T7" s="165">
        <f>AVERAGE(L42:L49)</f>
        <v>0.170075</v>
      </c>
    </row>
    <row r="8" spans="1:20" x14ac:dyDescent="0.25">
      <c r="B8" s="628"/>
      <c r="C8" s="672"/>
      <c r="D8" s="559" t="s">
        <v>468</v>
      </c>
      <c r="E8" s="559">
        <v>0.69470613912773904</v>
      </c>
      <c r="F8" s="559">
        <v>0.50752935645061303</v>
      </c>
      <c r="G8" s="559">
        <v>0.276918637322979</v>
      </c>
      <c r="H8" s="132">
        <v>42.733699999999999</v>
      </c>
      <c r="I8" s="132">
        <v>99.349599999999995</v>
      </c>
      <c r="J8" s="132">
        <v>6.8779000000000003</v>
      </c>
      <c r="K8" s="132">
        <v>13.668200000000001</v>
      </c>
      <c r="L8" s="4">
        <v>0.1963</v>
      </c>
      <c r="O8" s="89" t="s">
        <v>95</v>
      </c>
      <c r="P8" s="132">
        <f>AVERAGE(H34:H41)</f>
        <v>27.985600000000002</v>
      </c>
      <c r="Q8" s="132">
        <f>AVERAGE(I34:I41)</f>
        <v>56.469774999999998</v>
      </c>
      <c r="R8" s="132">
        <f>AVERAGE(J34:J41)</f>
        <v>3.4440625000000002</v>
      </c>
      <c r="S8" s="132">
        <f>AVERAGE(K34:K41)</f>
        <v>6.1856500000000008</v>
      </c>
      <c r="T8" s="4">
        <f>AVERAGE(L34:L41)</f>
        <v>0.17321250000000002</v>
      </c>
    </row>
    <row r="9" spans="1:20" x14ac:dyDescent="0.25">
      <c r="B9" s="628"/>
      <c r="C9" s="672"/>
      <c r="D9" s="132" t="s">
        <v>469</v>
      </c>
      <c r="E9" s="132">
        <v>0.78902505337520001</v>
      </c>
      <c r="F9" s="132">
        <v>0.52875372986121505</v>
      </c>
      <c r="G9" s="132">
        <v>0.32766806658747</v>
      </c>
      <c r="H9" s="132">
        <v>67.619600000000005</v>
      </c>
      <c r="I9" s="132">
        <v>99.758899999999997</v>
      </c>
      <c r="J9" s="132">
        <v>8.1720000000000006</v>
      </c>
      <c r="K9" s="132">
        <v>18.426100000000002</v>
      </c>
      <c r="L9" s="4">
        <v>0.2525</v>
      </c>
      <c r="O9" s="89" t="s">
        <v>94</v>
      </c>
      <c r="P9" s="132">
        <f>AVERAGE(H28:H33)</f>
        <v>24.626616666666667</v>
      </c>
      <c r="Q9" s="132">
        <f>AVERAGE(I28:I33)</f>
        <v>96.433599999999998</v>
      </c>
      <c r="R9" s="132">
        <f>AVERAGE(J28:J33)</f>
        <v>5.1546166666666666</v>
      </c>
      <c r="S9" s="132">
        <f>AVERAGE(K28:K33)</f>
        <v>11.604750000000001</v>
      </c>
      <c r="T9" s="4">
        <f>AVERAGE(L28:L33)</f>
        <v>0.18710000000000002</v>
      </c>
    </row>
    <row r="10" spans="1:20" ht="15.75" thickBot="1" x14ac:dyDescent="0.3">
      <c r="B10" s="628"/>
      <c r="C10" s="672"/>
      <c r="D10" s="272" t="s">
        <v>470</v>
      </c>
      <c r="E10" s="132">
        <v>0.81523000000000001</v>
      </c>
      <c r="F10" s="132">
        <v>0.59863</v>
      </c>
      <c r="G10" s="132">
        <v>0.38329000000000002</v>
      </c>
      <c r="H10" s="132">
        <v>41.461300000000001</v>
      </c>
      <c r="I10" s="132">
        <v>64.022800000000004</v>
      </c>
      <c r="J10" s="132">
        <v>6.1348000000000003</v>
      </c>
      <c r="K10" s="132">
        <v>15.111499999999999</v>
      </c>
      <c r="L10" s="4">
        <v>0.55549999999999999</v>
      </c>
      <c r="O10" s="90" t="s">
        <v>144</v>
      </c>
      <c r="P10" s="203">
        <f>AVERAGE(H12:H19)</f>
        <v>27.409842857142859</v>
      </c>
      <c r="Q10" s="203">
        <f>AVERAGE(I12:I19)</f>
        <v>81.71942857142858</v>
      </c>
      <c r="R10" s="203">
        <f>AVERAGE(J12:J19)</f>
        <v>3.6319428571428571</v>
      </c>
      <c r="S10" s="203">
        <f>AVERAGE(K12:K19)</f>
        <v>11.36917142857143</v>
      </c>
      <c r="T10" s="7">
        <f>AVERAGE(L12:L19)</f>
        <v>0.20138571428571428</v>
      </c>
    </row>
    <row r="11" spans="1:20" ht="15.75" thickBot="1" x14ac:dyDescent="0.3">
      <c r="B11" s="730"/>
      <c r="C11" s="760"/>
      <c r="D11" s="546" t="s">
        <v>471</v>
      </c>
      <c r="E11" s="560">
        <v>0.76198999999999995</v>
      </c>
      <c r="F11" s="560">
        <v>0.50283</v>
      </c>
      <c r="G11" s="560">
        <v>0.30092999999999998</v>
      </c>
      <c r="H11" s="134">
        <v>10.579800000000001</v>
      </c>
      <c r="I11" s="134">
        <v>109.24290000000001</v>
      </c>
      <c r="J11" s="134">
        <v>8.2186000000000003</v>
      </c>
      <c r="K11" s="134">
        <v>14.692600000000001</v>
      </c>
      <c r="L11" s="165">
        <v>0.1898</v>
      </c>
    </row>
    <row r="12" spans="1:20" ht="15.75" thickBot="1" x14ac:dyDescent="0.3">
      <c r="B12" s="831" t="s">
        <v>457</v>
      </c>
      <c r="C12" s="676" t="s">
        <v>144</v>
      </c>
      <c r="D12" s="566" t="s">
        <v>462</v>
      </c>
      <c r="E12" s="559">
        <v>0.58950000000000002</v>
      </c>
      <c r="F12" s="559">
        <v>0.31468000000000002</v>
      </c>
      <c r="G12" s="559">
        <v>0.14568999999999999</v>
      </c>
      <c r="H12" s="133">
        <v>49.469099999999997</v>
      </c>
      <c r="I12" s="133">
        <v>113.35469999999999</v>
      </c>
      <c r="J12" s="133">
        <v>4.1284000000000001</v>
      </c>
      <c r="K12" s="133">
        <v>18.439399999999999</v>
      </c>
      <c r="L12" s="164">
        <v>0.214</v>
      </c>
      <c r="O12" s="704" t="s">
        <v>474</v>
      </c>
      <c r="P12" s="705"/>
      <c r="Q12" s="705"/>
      <c r="R12" s="705"/>
      <c r="S12" s="705"/>
      <c r="T12" s="706"/>
    </row>
    <row r="13" spans="1:20" ht="15.75" thickBot="1" x14ac:dyDescent="0.3">
      <c r="B13" s="628"/>
      <c r="C13" s="672"/>
      <c r="D13" s="132" t="s">
        <v>463</v>
      </c>
      <c r="E13" s="559">
        <v>0.79676000000000002</v>
      </c>
      <c r="F13" s="559">
        <v>0.49893999999999999</v>
      </c>
      <c r="G13" s="559">
        <v>0.31222</v>
      </c>
      <c r="H13" s="132">
        <v>29.5519</v>
      </c>
      <c r="I13" s="132">
        <v>37.476100000000002</v>
      </c>
      <c r="J13" s="132">
        <v>2.9251999999999998</v>
      </c>
      <c r="K13" s="132">
        <v>5.2579000000000002</v>
      </c>
      <c r="L13" s="4">
        <v>0.183</v>
      </c>
      <c r="O13" s="450" t="s">
        <v>10</v>
      </c>
      <c r="P13" s="557" t="s">
        <v>453</v>
      </c>
      <c r="Q13" s="557" t="s">
        <v>451</v>
      </c>
      <c r="R13" s="557" t="s">
        <v>452</v>
      </c>
      <c r="S13" s="557" t="s">
        <v>454</v>
      </c>
      <c r="T13" s="558" t="s">
        <v>455</v>
      </c>
    </row>
    <row r="14" spans="1:20" x14ac:dyDescent="0.25">
      <c r="B14" s="628"/>
      <c r="C14" s="672"/>
      <c r="D14" s="132" t="s">
        <v>464</v>
      </c>
      <c r="E14" s="132">
        <v>0.67888999999999999</v>
      </c>
      <c r="F14" s="132">
        <v>0.46682000000000001</v>
      </c>
      <c r="G14" s="132">
        <v>0.24890999999999999</v>
      </c>
      <c r="H14" s="132">
        <v>29.991</v>
      </c>
      <c r="I14" s="132">
        <v>51.245699999999999</v>
      </c>
      <c r="J14" s="132">
        <v>3.1888999999999998</v>
      </c>
      <c r="K14" s="132">
        <v>7.3263999999999996</v>
      </c>
      <c r="L14" s="4">
        <v>0.1991</v>
      </c>
      <c r="O14" s="563" t="s">
        <v>475</v>
      </c>
      <c r="P14" s="202">
        <f>TTEST(H2:H11,H20:H27,1,2)</f>
        <v>4.0471356584670007E-2</v>
      </c>
      <c r="Q14" s="202">
        <f>TTEST(I2:I11,I20:I27,1,2)</f>
        <v>0.2422262473682476</v>
      </c>
      <c r="R14" s="202">
        <f>TTEST(J2:J11,J20:J27,1,2)</f>
        <v>6.3747447529163254E-2</v>
      </c>
      <c r="S14" s="202">
        <f>TTEST(K2:K11,K20:K27,1,2)</f>
        <v>4.2968925002549924E-2</v>
      </c>
      <c r="T14" s="9">
        <f>TTEST(L2:L11,L20:L27,1,2)</f>
        <v>0.19893299280057991</v>
      </c>
    </row>
    <row r="15" spans="1:20" x14ac:dyDescent="0.25">
      <c r="B15" s="628"/>
      <c r="C15" s="672"/>
      <c r="D15" s="562" t="s">
        <v>465</v>
      </c>
      <c r="E15" s="562"/>
      <c r="F15" s="562"/>
      <c r="G15" s="562"/>
      <c r="H15" s="421"/>
      <c r="I15" s="421"/>
      <c r="J15" s="421"/>
      <c r="K15" s="421"/>
      <c r="L15" s="112"/>
      <c r="O15" s="343" t="s">
        <v>476</v>
      </c>
      <c r="P15" s="134">
        <f>TTEST(H2:H11,H42:H49,1,2)</f>
        <v>2.5102426078298823E-2</v>
      </c>
      <c r="Q15" s="134">
        <f>TTEST(I2:I11,I42:I49,1,2)</f>
        <v>0.11908040581512715</v>
      </c>
      <c r="R15" s="134">
        <f>TTEST(J2:J11,J42:J49,1,2)</f>
        <v>6.6478720958507098E-2</v>
      </c>
      <c r="S15" s="134">
        <f>TTEST(K2:K11,K42:K49,1,2)</f>
        <v>0.42707269846110252</v>
      </c>
      <c r="T15" s="165">
        <f>TTEST(L2:L11,L42:L49,1,2)</f>
        <v>0.12911940345231587</v>
      </c>
    </row>
    <row r="16" spans="1:20" x14ac:dyDescent="0.25">
      <c r="B16" s="628"/>
      <c r="C16" s="672"/>
      <c r="D16" s="132" t="s">
        <v>466</v>
      </c>
      <c r="E16" s="132">
        <v>0.60811000000000004</v>
      </c>
      <c r="F16" s="132">
        <v>0.39985999999999999</v>
      </c>
      <c r="G16" s="132">
        <v>0.19478999999999999</v>
      </c>
      <c r="H16" s="132">
        <v>35.278700000000001</v>
      </c>
      <c r="I16" s="132">
        <v>93.472099999999998</v>
      </c>
      <c r="J16" s="132">
        <v>4.5518999999999998</v>
      </c>
      <c r="K16" s="132">
        <v>13.2463</v>
      </c>
      <c r="L16" s="4">
        <v>0.1996</v>
      </c>
      <c r="O16" s="564" t="s">
        <v>477</v>
      </c>
      <c r="P16" s="133">
        <f>TTEST(H34:H41,H28:H33,1,2)</f>
        <v>0.19830422878183468</v>
      </c>
      <c r="Q16" s="133">
        <f>TTEST(I34:I41,I28:I33,1,2)</f>
        <v>5.1121846335768918E-2</v>
      </c>
      <c r="R16" s="133">
        <f>TTEST(J34:J41,J28:J33,1,2)</f>
        <v>5.4623313533485381E-2</v>
      </c>
      <c r="S16" s="133">
        <f>TTEST(K34:K41,K28:K33,1,2)</f>
        <v>1.5241813920503763E-2</v>
      </c>
      <c r="T16" s="164">
        <f>TTEST(L34:L41,L28:L33,1,2)</f>
        <v>0.33603791834268215</v>
      </c>
    </row>
    <row r="17" spans="2:20" x14ac:dyDescent="0.25">
      <c r="B17" s="628"/>
      <c r="C17" s="672"/>
      <c r="D17" s="272" t="s">
        <v>467</v>
      </c>
      <c r="E17" s="132">
        <v>0.59092</v>
      </c>
      <c r="F17" s="132">
        <v>0.35014000000000001</v>
      </c>
      <c r="G17" s="132">
        <v>0.16250000000000001</v>
      </c>
      <c r="H17" s="132">
        <v>11.304</v>
      </c>
      <c r="I17" s="132">
        <v>88.109200000000001</v>
      </c>
      <c r="J17" s="132">
        <v>3.5794000000000001</v>
      </c>
      <c r="K17" s="132">
        <v>11.2203</v>
      </c>
      <c r="L17" s="4">
        <v>0.2109</v>
      </c>
      <c r="O17" s="343" t="s">
        <v>478</v>
      </c>
      <c r="P17" s="134">
        <f>TTEST(H12:H19,H28:H33,1,2)</f>
        <v>0.32927713901499589</v>
      </c>
      <c r="Q17" s="134">
        <f>TTEST(I12:I19,I28:I33,1,2)</f>
        <v>0.28376850735500825</v>
      </c>
      <c r="R17" s="134">
        <f>TTEST(J12:J19,J28:J33,1,2)</f>
        <v>6.1715684980002621E-2</v>
      </c>
      <c r="S17" s="134">
        <f>TTEST(K12:K19,K28:K33,1,2)</f>
        <v>0.46797535163182791</v>
      </c>
      <c r="T17" s="165">
        <f>TTEST(L12:L19,L28:L33,1,2)</f>
        <v>0.33142554880271358</v>
      </c>
    </row>
    <row r="18" spans="2:20" x14ac:dyDescent="0.25">
      <c r="B18" s="628"/>
      <c r="C18" s="672"/>
      <c r="D18" s="566" t="s">
        <v>468</v>
      </c>
      <c r="E18" s="559">
        <v>0.48109000000000002</v>
      </c>
      <c r="F18" s="559">
        <v>0.39634000000000003</v>
      </c>
      <c r="G18" s="559">
        <v>0.14976</v>
      </c>
      <c r="H18" s="132">
        <v>11.2453</v>
      </c>
      <c r="I18" s="132">
        <v>83.431299999999993</v>
      </c>
      <c r="J18" s="132">
        <v>3.1236999999999999</v>
      </c>
      <c r="K18" s="132">
        <v>11.838100000000001</v>
      </c>
      <c r="L18" s="4">
        <v>0.2611</v>
      </c>
      <c r="O18" s="89" t="s">
        <v>479</v>
      </c>
      <c r="P18" s="132">
        <f>TTEST(H20:H27,H34:H41,1,2)</f>
        <v>0.35331208066376812</v>
      </c>
      <c r="Q18" s="132">
        <f>TTEST(I20:I27,I34:I41,1,2)</f>
        <v>0.17438596174648119</v>
      </c>
      <c r="R18" s="132">
        <f>TTEST(J20:J27,J34:J41,1,2)</f>
        <v>0.1191210134385479</v>
      </c>
      <c r="S18" s="132">
        <f>TTEST(K20:K27,K34:K41,1,2)</f>
        <v>0.10153930711221199</v>
      </c>
      <c r="T18" s="4">
        <f>TTEST(L20:L27,L34:L41,1,2)</f>
        <v>0.26607215489555824</v>
      </c>
    </row>
    <row r="19" spans="2:20" x14ac:dyDescent="0.25">
      <c r="B19" s="730"/>
      <c r="C19" s="760"/>
      <c r="D19" s="513" t="s">
        <v>469</v>
      </c>
      <c r="E19" s="134">
        <v>0.51153999999999999</v>
      </c>
      <c r="F19" s="134">
        <v>0.37223000000000001</v>
      </c>
      <c r="G19" s="134">
        <v>0.14964</v>
      </c>
      <c r="H19" s="134">
        <v>25.0289</v>
      </c>
      <c r="I19" s="134">
        <v>104.9469</v>
      </c>
      <c r="J19" s="134">
        <v>3.9260999999999999</v>
      </c>
      <c r="K19" s="134">
        <v>12.255800000000001</v>
      </c>
      <c r="L19" s="165">
        <v>0.14199999999999999</v>
      </c>
      <c r="O19" s="89" t="s">
        <v>480</v>
      </c>
      <c r="P19" s="132">
        <f>TTEST(H2:H11,H28:H33,1,2)</f>
        <v>2.2482772799166006E-2</v>
      </c>
      <c r="Q19" s="132">
        <f>TTEST(I2:I11,I28:I33,1,2)</f>
        <v>0.32698683221900282</v>
      </c>
      <c r="R19" s="132">
        <f>TTEST(J2:J11,J28:J33,1,2)</f>
        <v>0.25873500170344466</v>
      </c>
      <c r="S19" s="132">
        <f>TTEST(K2:K11,K28:K33,1,2)</f>
        <v>0.40653597719932577</v>
      </c>
      <c r="T19" s="4">
        <f>TTEST(L2:L11,L28:L33,1,2)</f>
        <v>0.21830219385833322</v>
      </c>
    </row>
    <row r="20" spans="2:20" ht="15.75" thickBot="1" x14ac:dyDescent="0.3">
      <c r="B20" s="831" t="s">
        <v>458</v>
      </c>
      <c r="C20" s="676" t="s">
        <v>92</v>
      </c>
      <c r="D20" s="559" t="s">
        <v>462</v>
      </c>
      <c r="E20" s="559">
        <v>0.78405999999999998</v>
      </c>
      <c r="F20" s="559">
        <v>0.56935000000000002</v>
      </c>
      <c r="G20" s="559">
        <v>0.35060000000000002</v>
      </c>
      <c r="H20" s="133">
        <v>27.6249</v>
      </c>
      <c r="I20" s="133">
        <v>50.653399999999998</v>
      </c>
      <c r="J20" s="133">
        <v>4.4398</v>
      </c>
      <c r="K20" s="133">
        <v>6.9485000000000001</v>
      </c>
      <c r="L20" s="164">
        <v>0.24079999999999999</v>
      </c>
      <c r="O20" s="90" t="s">
        <v>481</v>
      </c>
      <c r="P20" s="203">
        <f>TTEST(H12:H19,H42:H49,1,2)</f>
        <v>0.38766380210234919</v>
      </c>
      <c r="Q20" s="203">
        <f>TTEST(I12:I19,I42:I49,1,2)</f>
        <v>0.10464535795786641</v>
      </c>
      <c r="R20" s="203">
        <f>TTEST(J12:J19,J42:J49,1,2)</f>
        <v>7.4190491263581987E-2</v>
      </c>
      <c r="S20" s="203">
        <f>TTEST(K12:K19,K42:K49,1,2)</f>
        <v>0.31045466239593744</v>
      </c>
      <c r="T20" s="7">
        <f>TTEST(L12:L19,L42:L49,1,2)</f>
        <v>0.193277488049164</v>
      </c>
    </row>
    <row r="21" spans="2:20" x14ac:dyDescent="0.25">
      <c r="B21" s="628"/>
      <c r="C21" s="672"/>
      <c r="D21" s="132" t="s">
        <v>463</v>
      </c>
      <c r="E21" s="132">
        <v>0.94881000000000004</v>
      </c>
      <c r="F21" s="132">
        <v>0.74736000000000002</v>
      </c>
      <c r="G21" s="132">
        <v>0.55693000000000004</v>
      </c>
      <c r="H21" s="132">
        <v>39.663899999999998</v>
      </c>
      <c r="I21" s="132">
        <v>34.5837</v>
      </c>
      <c r="J21" s="132">
        <v>4.8151999999999999</v>
      </c>
      <c r="K21" s="132">
        <v>6.1087999999999996</v>
      </c>
      <c r="L21" s="4">
        <v>0.22550000000000001</v>
      </c>
    </row>
    <row r="22" spans="2:20" x14ac:dyDescent="0.25">
      <c r="B22" s="628"/>
      <c r="C22" s="672"/>
      <c r="D22" s="421" t="s">
        <v>464</v>
      </c>
      <c r="E22" s="421"/>
      <c r="F22" s="421"/>
      <c r="G22" s="421"/>
      <c r="H22" s="421"/>
      <c r="I22" s="421"/>
      <c r="J22" s="421"/>
      <c r="K22" s="421"/>
      <c r="L22" s="112"/>
    </row>
    <row r="23" spans="2:20" x14ac:dyDescent="0.25">
      <c r="B23" s="628"/>
      <c r="C23" s="672"/>
      <c r="D23" s="559" t="s">
        <v>465</v>
      </c>
      <c r="E23" s="559">
        <v>0.84565999999999997</v>
      </c>
      <c r="F23" s="559">
        <v>0.59394999999999998</v>
      </c>
      <c r="G23" s="559">
        <v>0.39449000000000001</v>
      </c>
      <c r="H23" s="132">
        <v>12.455299999999999</v>
      </c>
      <c r="I23" s="132">
        <v>42.822200000000002</v>
      </c>
      <c r="J23" s="132">
        <v>4.2232000000000003</v>
      </c>
      <c r="K23" s="132">
        <v>4.1295000000000002</v>
      </c>
      <c r="L23" s="4">
        <v>0.15540000000000001</v>
      </c>
    </row>
    <row r="24" spans="2:20" x14ac:dyDescent="0.25">
      <c r="B24" s="628"/>
      <c r="C24" s="672"/>
      <c r="D24" s="132" t="s">
        <v>466</v>
      </c>
      <c r="E24" s="132">
        <v>0.67552999999999996</v>
      </c>
      <c r="F24" s="132">
        <v>0.23058999999999999</v>
      </c>
      <c r="G24" s="132">
        <v>0.12234</v>
      </c>
      <c r="H24" s="132">
        <v>19.544799999999999</v>
      </c>
      <c r="I24" s="132">
        <v>131.58449999999999</v>
      </c>
      <c r="J24" s="132">
        <v>4.0244999999999997</v>
      </c>
      <c r="K24" s="132">
        <v>10.971399999999999</v>
      </c>
      <c r="L24" s="4">
        <v>0.1116</v>
      </c>
    </row>
    <row r="25" spans="2:20" x14ac:dyDescent="0.25">
      <c r="B25" s="628"/>
      <c r="C25" s="672"/>
      <c r="D25" s="272" t="s">
        <v>467</v>
      </c>
      <c r="E25" s="132">
        <v>0.75668999999999997</v>
      </c>
      <c r="F25" s="132">
        <v>0.38134000000000001</v>
      </c>
      <c r="G25" s="132">
        <v>0.22663</v>
      </c>
      <c r="H25" s="132"/>
      <c r="I25" s="132">
        <v>132.0419</v>
      </c>
      <c r="J25" s="132">
        <v>7.4812000000000003</v>
      </c>
      <c r="K25" s="132">
        <v>16.5351</v>
      </c>
      <c r="L25" s="4">
        <v>0.2296</v>
      </c>
    </row>
    <row r="26" spans="2:20" x14ac:dyDescent="0.25">
      <c r="B26" s="628"/>
      <c r="C26" s="672"/>
      <c r="D26" s="559" t="s">
        <v>468</v>
      </c>
      <c r="E26" s="132">
        <v>0.75478000000000001</v>
      </c>
      <c r="F26" s="132">
        <v>0.38873000000000002</v>
      </c>
      <c r="G26" s="132">
        <v>0.23044000000000001</v>
      </c>
      <c r="H26" s="132">
        <v>24.8611</v>
      </c>
      <c r="I26" s="132">
        <v>45.258600000000001</v>
      </c>
      <c r="J26" s="132">
        <v>2.6073</v>
      </c>
      <c r="K26" s="132">
        <v>6.1616999999999997</v>
      </c>
      <c r="L26" s="4">
        <v>0.22020000000000001</v>
      </c>
    </row>
    <row r="27" spans="2:20" x14ac:dyDescent="0.25">
      <c r="B27" s="730"/>
      <c r="C27" s="760"/>
      <c r="D27" s="513" t="s">
        <v>469</v>
      </c>
      <c r="E27" s="565">
        <v>0.59375999999999995</v>
      </c>
      <c r="F27" s="560">
        <v>0.35321999999999998</v>
      </c>
      <c r="G27" s="560">
        <v>0.16472000000000001</v>
      </c>
      <c r="H27" s="134">
        <v>33.4223</v>
      </c>
      <c r="I27" s="134">
        <v>74.002700000000004</v>
      </c>
      <c r="J27" s="134">
        <v>3.0474000000000001</v>
      </c>
      <c r="K27" s="134">
        <v>7.3167999999999997</v>
      </c>
      <c r="L27" s="165">
        <v>0.14069999999999999</v>
      </c>
    </row>
    <row r="28" spans="2:20" x14ac:dyDescent="0.25">
      <c r="B28" s="831" t="s">
        <v>459</v>
      </c>
      <c r="C28" s="676" t="s">
        <v>94</v>
      </c>
      <c r="D28" s="559" t="s">
        <v>462</v>
      </c>
      <c r="E28" s="559">
        <v>0.80791999999999997</v>
      </c>
      <c r="F28" s="559">
        <v>0.44762999999999997</v>
      </c>
      <c r="G28" s="559">
        <v>0.28404000000000001</v>
      </c>
      <c r="H28" s="133">
        <v>18.936499999999999</v>
      </c>
      <c r="I28" s="133">
        <v>124.9987</v>
      </c>
      <c r="J28" s="133">
        <v>8.1204000000000001</v>
      </c>
      <c r="K28" s="133">
        <v>14.540800000000001</v>
      </c>
      <c r="L28" s="164">
        <v>0.14660000000000001</v>
      </c>
    </row>
    <row r="29" spans="2:20" x14ac:dyDescent="0.25">
      <c r="B29" s="628"/>
      <c r="C29" s="672"/>
      <c r="D29" s="132" t="s">
        <v>463</v>
      </c>
      <c r="E29" s="132">
        <v>0.61977000000000004</v>
      </c>
      <c r="F29" s="132">
        <v>0.24413000000000001</v>
      </c>
      <c r="G29" s="132">
        <v>0.11883000000000001</v>
      </c>
      <c r="H29" s="132">
        <v>35.217500000000001</v>
      </c>
      <c r="I29" s="132">
        <v>198.24549999999999</v>
      </c>
      <c r="J29" s="132">
        <v>5.8894000000000002</v>
      </c>
      <c r="K29" s="132">
        <v>21.614000000000001</v>
      </c>
      <c r="L29" s="4">
        <v>0.153</v>
      </c>
    </row>
    <row r="30" spans="2:20" x14ac:dyDescent="0.25">
      <c r="B30" s="628"/>
      <c r="C30" s="672"/>
      <c r="D30" s="132" t="s">
        <v>464</v>
      </c>
      <c r="E30" s="132">
        <v>0.73099999999999998</v>
      </c>
      <c r="F30" s="132">
        <v>0.39100000000000001</v>
      </c>
      <c r="G30" s="132">
        <v>0.22448000000000001</v>
      </c>
      <c r="H30" s="132">
        <v>17.043600000000001</v>
      </c>
      <c r="I30" s="132">
        <v>49.487699999999997</v>
      </c>
      <c r="J30" s="132">
        <v>2.7772000000000001</v>
      </c>
      <c r="K30" s="132">
        <v>3.7115999999999998</v>
      </c>
      <c r="L30" s="4">
        <v>0.1129</v>
      </c>
    </row>
    <row r="31" spans="2:20" x14ac:dyDescent="0.25">
      <c r="B31" s="628"/>
      <c r="C31" s="672"/>
      <c r="D31" s="559" t="s">
        <v>465</v>
      </c>
      <c r="E31" s="559">
        <v>0.69340000000000002</v>
      </c>
      <c r="F31" s="559">
        <v>0.4012</v>
      </c>
      <c r="G31" s="559">
        <v>0.21848999999999999</v>
      </c>
      <c r="H31" s="132">
        <v>28.653600000000001</v>
      </c>
      <c r="I31" s="132">
        <v>44.061700000000002</v>
      </c>
      <c r="J31" s="132">
        <v>2.4068000000000001</v>
      </c>
      <c r="K31" s="132">
        <v>10.004899999999999</v>
      </c>
      <c r="L31" s="4">
        <v>0.2903</v>
      </c>
    </row>
    <row r="32" spans="2:20" x14ac:dyDescent="0.25">
      <c r="B32" s="628"/>
      <c r="C32" s="672"/>
      <c r="D32" s="132" t="s">
        <v>466</v>
      </c>
      <c r="E32" s="132">
        <v>0.62426999999999999</v>
      </c>
      <c r="F32" s="132">
        <v>0.57823000000000002</v>
      </c>
      <c r="G32" s="132">
        <v>0.28350999999999998</v>
      </c>
      <c r="H32" s="132">
        <v>20.116199999999999</v>
      </c>
      <c r="I32" s="132">
        <v>102.5137</v>
      </c>
      <c r="J32" s="132">
        <v>7.2659000000000002</v>
      </c>
      <c r="K32" s="132">
        <v>11.2773</v>
      </c>
      <c r="L32" s="4">
        <v>0.1449</v>
      </c>
      <c r="Q32">
        <f>_xlfn.CEILING.MATH(2250/6000*100)</f>
        <v>38</v>
      </c>
    </row>
    <row r="33" spans="2:17" x14ac:dyDescent="0.25">
      <c r="B33" s="628"/>
      <c r="C33" s="672"/>
      <c r="D33" s="567" t="s">
        <v>467</v>
      </c>
      <c r="E33" s="134">
        <v>0.87431999999999999</v>
      </c>
      <c r="F33" s="134">
        <v>0.43892999999999999</v>
      </c>
      <c r="G33" s="134">
        <v>0.30141000000000001</v>
      </c>
      <c r="H33" s="132">
        <v>27.792300000000001</v>
      </c>
      <c r="I33" s="132">
        <v>59.2943</v>
      </c>
      <c r="J33" s="132">
        <v>4.468</v>
      </c>
      <c r="K33" s="132">
        <v>8.4799000000000007</v>
      </c>
      <c r="L33" s="4">
        <v>0.27489999999999998</v>
      </c>
      <c r="Q33">
        <f>Q32*2</f>
        <v>76</v>
      </c>
    </row>
    <row r="34" spans="2:17" x14ac:dyDescent="0.25">
      <c r="B34" s="831" t="s">
        <v>460</v>
      </c>
      <c r="C34" s="676" t="s">
        <v>95</v>
      </c>
      <c r="D34" s="559" t="s">
        <v>462</v>
      </c>
      <c r="E34" s="559">
        <v>0.71106000000000003</v>
      </c>
      <c r="F34" s="559">
        <v>0.56550999999999996</v>
      </c>
      <c r="G34" s="559">
        <v>0.31581999999999999</v>
      </c>
      <c r="H34" s="133">
        <v>23.512</v>
      </c>
      <c r="I34" s="133">
        <v>33.967799999999997</v>
      </c>
      <c r="J34" s="133">
        <v>2.6819000000000002</v>
      </c>
      <c r="K34" s="133">
        <v>3.6516999999999999</v>
      </c>
      <c r="L34" s="164">
        <v>0.15920000000000001</v>
      </c>
    </row>
    <row r="35" spans="2:17" x14ac:dyDescent="0.25">
      <c r="B35" s="628"/>
      <c r="C35" s="672"/>
      <c r="D35" s="272" t="s">
        <v>463</v>
      </c>
      <c r="E35" s="132">
        <v>0.63241999999999998</v>
      </c>
      <c r="F35" s="132">
        <v>0.53652</v>
      </c>
      <c r="G35" s="132">
        <v>0.26649</v>
      </c>
      <c r="H35" s="132">
        <v>14.813499999999999</v>
      </c>
      <c r="I35" s="132">
        <v>72.243499999999997</v>
      </c>
      <c r="J35" s="132">
        <v>4.8129999999999997</v>
      </c>
      <c r="K35" s="132">
        <v>8.2372999999999994</v>
      </c>
      <c r="L35" s="4">
        <v>0.20710000000000001</v>
      </c>
    </row>
    <row r="36" spans="2:17" x14ac:dyDescent="0.25">
      <c r="B36" s="628"/>
      <c r="C36" s="672"/>
      <c r="D36" s="132" t="s">
        <v>464</v>
      </c>
      <c r="E36" s="132">
        <v>0.88492999999999999</v>
      </c>
      <c r="F36" s="132">
        <v>0.36584</v>
      </c>
      <c r="G36" s="132">
        <v>0.25427</v>
      </c>
      <c r="H36" s="132">
        <v>27.7881</v>
      </c>
      <c r="I36" s="132">
        <v>30.875</v>
      </c>
      <c r="J36" s="132">
        <v>1.9625999999999999</v>
      </c>
      <c r="K36" s="132">
        <v>4.6822999999999997</v>
      </c>
      <c r="L36" s="4">
        <v>0.24110000000000001</v>
      </c>
    </row>
    <row r="37" spans="2:17" x14ac:dyDescent="0.25">
      <c r="B37" s="628"/>
      <c r="C37" s="672"/>
      <c r="D37" s="559" t="s">
        <v>465</v>
      </c>
      <c r="E37" s="559">
        <v>0.78610000000000002</v>
      </c>
      <c r="F37" s="559">
        <v>0.39289000000000002</v>
      </c>
      <c r="G37" s="559">
        <v>0.24257000000000001</v>
      </c>
      <c r="H37" s="132">
        <v>29.4099</v>
      </c>
      <c r="I37" s="132">
        <v>90.247399999999999</v>
      </c>
      <c r="J37" s="132">
        <v>5.4728000000000003</v>
      </c>
      <c r="K37" s="132">
        <v>7.9603000000000002</v>
      </c>
      <c r="L37" s="4">
        <v>0.1196</v>
      </c>
    </row>
    <row r="38" spans="2:17" x14ac:dyDescent="0.25">
      <c r="B38" s="628"/>
      <c r="C38" s="672"/>
      <c r="D38" s="132" t="s">
        <v>466</v>
      </c>
      <c r="E38" s="132">
        <v>0.53571999999999997</v>
      </c>
      <c r="F38" s="132">
        <v>0.38791999999999999</v>
      </c>
      <c r="G38" s="132">
        <v>0.16322</v>
      </c>
      <c r="H38" s="132">
        <v>36.379800000000003</v>
      </c>
      <c r="I38" s="132">
        <v>40.602800000000002</v>
      </c>
      <c r="J38" s="132">
        <v>1.6568000000000001</v>
      </c>
      <c r="K38" s="132">
        <v>6.0433000000000003</v>
      </c>
      <c r="L38" s="4">
        <v>0.2094</v>
      </c>
    </row>
    <row r="39" spans="2:17" x14ac:dyDescent="0.25">
      <c r="B39" s="628"/>
      <c r="C39" s="672"/>
      <c r="D39" s="132" t="s">
        <v>467</v>
      </c>
      <c r="E39" s="132">
        <v>0.53720999999999997</v>
      </c>
      <c r="F39" s="132">
        <v>0.51449</v>
      </c>
      <c r="G39" s="132">
        <v>0.21707000000000001</v>
      </c>
      <c r="H39" s="132">
        <v>26.0044</v>
      </c>
      <c r="I39" s="132">
        <v>65.418000000000006</v>
      </c>
      <c r="J39" s="132">
        <v>3.5501</v>
      </c>
      <c r="K39" s="132">
        <v>7.0418000000000003</v>
      </c>
      <c r="L39" s="4">
        <v>0.1656</v>
      </c>
    </row>
    <row r="40" spans="2:17" x14ac:dyDescent="0.25">
      <c r="B40" s="628"/>
      <c r="C40" s="672"/>
      <c r="D40" s="559" t="s">
        <v>468</v>
      </c>
      <c r="E40" s="559">
        <v>0.77585999999999999</v>
      </c>
      <c r="F40" s="559">
        <v>0.48347000000000001</v>
      </c>
      <c r="G40" s="559">
        <v>0.29460999999999998</v>
      </c>
      <c r="H40" s="132">
        <v>36.988799999999998</v>
      </c>
      <c r="I40" s="132">
        <v>42.614400000000003</v>
      </c>
      <c r="J40" s="132">
        <v>3.1387</v>
      </c>
      <c r="K40" s="132">
        <v>5.4305000000000003</v>
      </c>
      <c r="L40" s="4">
        <v>0.1696</v>
      </c>
    </row>
    <row r="41" spans="2:17" x14ac:dyDescent="0.25">
      <c r="B41" s="730"/>
      <c r="C41" s="760"/>
      <c r="D41" s="513" t="s">
        <v>469</v>
      </c>
      <c r="E41" s="134">
        <v>0.72372000000000003</v>
      </c>
      <c r="F41" s="134">
        <v>0.39710000000000001</v>
      </c>
      <c r="G41" s="134">
        <v>0.22570999999999999</v>
      </c>
      <c r="H41" s="134">
        <v>28.988299999999999</v>
      </c>
      <c r="I41" s="134">
        <v>75.789299999999997</v>
      </c>
      <c r="J41" s="134">
        <v>4.2766000000000002</v>
      </c>
      <c r="K41" s="134">
        <v>6.4379999999999997</v>
      </c>
      <c r="L41" s="165">
        <v>0.11409999999999999</v>
      </c>
    </row>
    <row r="42" spans="2:17" x14ac:dyDescent="0.25">
      <c r="B42" s="831" t="s">
        <v>461</v>
      </c>
      <c r="C42" s="676" t="s">
        <v>149</v>
      </c>
      <c r="D42" s="559" t="s">
        <v>463</v>
      </c>
      <c r="E42" s="559">
        <v>0.56882999999999995</v>
      </c>
      <c r="F42" s="559">
        <v>0.30523</v>
      </c>
      <c r="G42" s="559">
        <v>0.13636000000000001</v>
      </c>
      <c r="H42" s="133">
        <v>24.834700000000002</v>
      </c>
      <c r="I42" s="133">
        <v>190.1241</v>
      </c>
      <c r="J42" s="133">
        <v>5.8154000000000003</v>
      </c>
      <c r="K42" s="133">
        <v>14.927899999999999</v>
      </c>
      <c r="L42" s="164">
        <v>0.1109</v>
      </c>
    </row>
    <row r="43" spans="2:17" x14ac:dyDescent="0.25">
      <c r="B43" s="628"/>
      <c r="C43" s="672"/>
      <c r="D43" s="132" t="s">
        <v>464</v>
      </c>
      <c r="E43" s="132">
        <v>0.62909999999999999</v>
      </c>
      <c r="F43" s="132">
        <v>0.37651000000000001</v>
      </c>
      <c r="G43" s="132">
        <v>0.18751000000000001</v>
      </c>
      <c r="H43" s="132">
        <v>26.667300000000001</v>
      </c>
      <c r="I43" s="132">
        <v>152.12809999999999</v>
      </c>
      <c r="J43" s="132">
        <v>5.3188000000000004</v>
      </c>
      <c r="K43" s="132">
        <v>20.471599999999999</v>
      </c>
      <c r="L43" s="4">
        <v>0.1651</v>
      </c>
    </row>
    <row r="44" spans="2:17" x14ac:dyDescent="0.25">
      <c r="B44" s="628"/>
      <c r="C44" s="672"/>
      <c r="D44" s="132" t="s">
        <v>466</v>
      </c>
      <c r="E44" s="132">
        <v>0.63292999999999999</v>
      </c>
      <c r="F44" s="132">
        <v>0.43125000000000002</v>
      </c>
      <c r="G44" s="132">
        <v>0.21437999999999999</v>
      </c>
      <c r="H44" s="132">
        <v>33.398899999999998</v>
      </c>
      <c r="I44" s="132">
        <v>99.293000000000006</v>
      </c>
      <c r="J44" s="132">
        <v>5.3216000000000001</v>
      </c>
      <c r="K44" s="132">
        <v>10.033899999999999</v>
      </c>
      <c r="L44" s="4">
        <v>0.14410000000000001</v>
      </c>
    </row>
    <row r="45" spans="2:17" x14ac:dyDescent="0.25">
      <c r="B45" s="628"/>
      <c r="C45" s="672"/>
      <c r="D45" s="559" t="s">
        <v>467</v>
      </c>
      <c r="E45" s="559">
        <v>0.57250999999999996</v>
      </c>
      <c r="F45" s="559">
        <v>0.28341</v>
      </c>
      <c r="G45" s="559">
        <v>0.12742999999999999</v>
      </c>
      <c r="H45" s="132">
        <v>37.3352</v>
      </c>
      <c r="I45" s="132">
        <v>140.89769999999999</v>
      </c>
      <c r="J45" s="132">
        <v>4.4885999999999999</v>
      </c>
      <c r="K45" s="132">
        <v>19.332999999999998</v>
      </c>
      <c r="L45" s="4">
        <v>0.156</v>
      </c>
    </row>
    <row r="46" spans="2:17" x14ac:dyDescent="0.25">
      <c r="B46" s="628"/>
      <c r="C46" s="672"/>
      <c r="D46" s="132" t="s">
        <v>468</v>
      </c>
      <c r="E46" s="132">
        <v>0.48114000000000001</v>
      </c>
      <c r="F46" s="132">
        <v>0.3876</v>
      </c>
      <c r="G46" s="132">
        <v>0.14646999999999999</v>
      </c>
      <c r="H46" s="132">
        <v>11.3009</v>
      </c>
      <c r="I46" s="132">
        <v>159.44839999999999</v>
      </c>
      <c r="J46" s="132">
        <v>5.8385999999999996</v>
      </c>
      <c r="K46" s="132">
        <v>15.8985</v>
      </c>
      <c r="L46" s="4">
        <v>0.14449999999999999</v>
      </c>
    </row>
    <row r="47" spans="2:17" x14ac:dyDescent="0.25">
      <c r="B47" s="628"/>
      <c r="C47" s="672"/>
      <c r="D47" s="132" t="s">
        <v>469</v>
      </c>
      <c r="E47" s="132">
        <v>0.64624999999999999</v>
      </c>
      <c r="F47" s="132">
        <v>0.42637999999999998</v>
      </c>
      <c r="G47" s="132">
        <v>0.21642</v>
      </c>
      <c r="H47" s="132">
        <v>17.4283</v>
      </c>
      <c r="I47" s="132">
        <v>51.362000000000002</v>
      </c>
      <c r="J47" s="132">
        <v>2.7789000000000001</v>
      </c>
      <c r="K47" s="132">
        <v>4.4683999999999999</v>
      </c>
      <c r="L47" s="4">
        <v>0.14510000000000001</v>
      </c>
    </row>
    <row r="48" spans="2:17" x14ac:dyDescent="0.25">
      <c r="B48" s="628"/>
      <c r="C48" s="672"/>
      <c r="D48" s="559" t="s">
        <v>470</v>
      </c>
      <c r="E48" s="559">
        <v>0.59192</v>
      </c>
      <c r="F48" s="559">
        <v>0.45490000000000003</v>
      </c>
      <c r="G48" s="559">
        <v>0.21148</v>
      </c>
      <c r="H48" s="132"/>
      <c r="I48" s="132">
        <v>37.299500000000002</v>
      </c>
      <c r="J48" s="132">
        <v>1.972</v>
      </c>
      <c r="K48" s="132">
        <v>10.2532</v>
      </c>
      <c r="L48" s="4">
        <v>0.37769999999999998</v>
      </c>
    </row>
    <row r="49" spans="2:12" ht="15.75" thickBot="1" x14ac:dyDescent="0.3">
      <c r="B49" s="629"/>
      <c r="C49" s="703"/>
      <c r="D49" s="203" t="s">
        <v>471</v>
      </c>
      <c r="E49" s="203">
        <v>0.79056999999999999</v>
      </c>
      <c r="F49" s="203">
        <v>0.42666999999999999</v>
      </c>
      <c r="G49" s="203">
        <v>0.26493</v>
      </c>
      <c r="H49" s="203">
        <v>28.427099999999999</v>
      </c>
      <c r="I49" s="203">
        <v>70.395700000000005</v>
      </c>
      <c r="J49" s="203">
        <v>4.6624999999999996</v>
      </c>
      <c r="K49" s="203">
        <v>6.4210000000000003</v>
      </c>
      <c r="L49" s="7">
        <v>0.1172</v>
      </c>
    </row>
  </sheetData>
  <mergeCells count="14">
    <mergeCell ref="O3:T3"/>
    <mergeCell ref="O12:T12"/>
    <mergeCell ref="B42:B49"/>
    <mergeCell ref="C42:C49"/>
    <mergeCell ref="C34:C41"/>
    <mergeCell ref="B34:B41"/>
    <mergeCell ref="B28:B33"/>
    <mergeCell ref="C28:C33"/>
    <mergeCell ref="C20:C27"/>
    <mergeCell ref="B20:B27"/>
    <mergeCell ref="C12:C19"/>
    <mergeCell ref="B12:B19"/>
    <mergeCell ref="C2:C11"/>
    <mergeCell ref="B2:B11"/>
  </mergeCells>
  <phoneticPr fontId="11" type="noConversion"/>
  <conditionalFormatting sqref="P14:T20">
    <cfRule type="cellIs" dxfId="1" priority="1" stopIfTrue="1" operator="lessThan">
      <formula>0.025</formula>
    </cfRule>
    <cfRule type="cellIs" dxfId="0" priority="2" operator="lessThan">
      <formula>0.05</formula>
    </cfRule>
  </conditionalFormatting>
  <hyperlinks>
    <hyperlink ref="A1" location="'Table of Contents'!A1" display="Table of Contents" xr:uid="{57FBCCC6-15AB-4762-9D33-8DE8D2695A6C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8342-65C0-4704-A9E0-6404FC2D711F}">
  <dimension ref="A1:DG16"/>
  <sheetViews>
    <sheetView zoomScaleNormal="100" workbookViewId="0">
      <selection activeCell="Q19" sqref="Q19"/>
    </sheetView>
  </sheetViews>
  <sheetFormatPr defaultRowHeight="15" x14ac:dyDescent="0.25"/>
  <cols>
    <col min="1" max="1" width="16.85546875" customWidth="1"/>
    <col min="2" max="2" width="11.42578125" customWidth="1"/>
    <col min="3" max="3" width="11.7109375" customWidth="1"/>
    <col min="22" max="22" width="12.140625" customWidth="1"/>
    <col min="38" max="38" width="12" bestFit="1" customWidth="1"/>
    <col min="40" max="41" width="12" bestFit="1" customWidth="1"/>
    <col min="67" max="68" width="10.5703125" bestFit="1" customWidth="1"/>
    <col min="70" max="71" width="12.5703125" bestFit="1" customWidth="1"/>
  </cols>
  <sheetData>
    <row r="1" spans="1:111" ht="15.75" thickBot="1" x14ac:dyDescent="0.3">
      <c r="A1" s="1" t="s">
        <v>9</v>
      </c>
      <c r="M1" t="s">
        <v>173</v>
      </c>
      <c r="S1" t="s">
        <v>204</v>
      </c>
      <c r="AB1" t="s">
        <v>205</v>
      </c>
      <c r="AK1" t="s">
        <v>206</v>
      </c>
      <c r="AT1" t="s">
        <v>207</v>
      </c>
      <c r="BC1" t="s">
        <v>208</v>
      </c>
      <c r="BL1" s="649" t="s">
        <v>233</v>
      </c>
      <c r="BM1" s="649"/>
      <c r="BN1" s="649"/>
      <c r="BO1" s="649"/>
      <c r="BP1" s="649"/>
      <c r="BQ1" s="649"/>
      <c r="BR1" s="649"/>
      <c r="BS1" s="649"/>
      <c r="BT1" s="649"/>
      <c r="BU1" s="650" t="s">
        <v>232</v>
      </c>
      <c r="BV1" s="650"/>
      <c r="BW1" s="650"/>
      <c r="BX1" s="650"/>
      <c r="BY1" s="650"/>
      <c r="BZ1" s="650"/>
      <c r="CA1" s="650"/>
      <c r="CB1" s="650"/>
      <c r="CC1" s="650"/>
      <c r="CD1" s="650"/>
      <c r="CE1" s="650"/>
      <c r="CF1" s="650"/>
      <c r="CG1" s="650"/>
      <c r="CH1" s="650"/>
      <c r="CI1" s="650"/>
    </row>
    <row r="2" spans="1:111" x14ac:dyDescent="0.25">
      <c r="B2" s="644" t="s">
        <v>60</v>
      </c>
      <c r="C2" s="647" t="s">
        <v>10</v>
      </c>
      <c r="D2" s="643" t="s">
        <v>111</v>
      </c>
      <c r="E2" s="641"/>
      <c r="F2" s="642"/>
      <c r="G2" s="643" t="s">
        <v>112</v>
      </c>
      <c r="H2" s="641"/>
      <c r="I2" s="642"/>
      <c r="J2" s="643" t="s">
        <v>482</v>
      </c>
      <c r="K2" s="641"/>
      <c r="L2" s="642"/>
      <c r="M2" s="643" t="s">
        <v>22</v>
      </c>
      <c r="N2" s="641"/>
      <c r="O2" s="642"/>
      <c r="P2" s="643" t="s">
        <v>84</v>
      </c>
      <c r="Q2" s="641"/>
      <c r="R2" s="642"/>
      <c r="S2" s="640" t="s">
        <v>146</v>
      </c>
      <c r="T2" s="634"/>
      <c r="U2" s="637"/>
      <c r="V2" s="641" t="s">
        <v>85</v>
      </c>
      <c r="W2" s="641"/>
      <c r="X2" s="642"/>
      <c r="Y2" s="640" t="s">
        <v>194</v>
      </c>
      <c r="Z2" s="634"/>
      <c r="AA2" s="637"/>
      <c r="AB2" s="640" t="s">
        <v>116</v>
      </c>
      <c r="AC2" s="634"/>
      <c r="AD2" s="637"/>
      <c r="AE2" s="640" t="s">
        <v>152</v>
      </c>
      <c r="AF2" s="634"/>
      <c r="AG2" s="634"/>
      <c r="AH2" s="640" t="s">
        <v>147</v>
      </c>
      <c r="AI2" s="634"/>
      <c r="AJ2" s="637"/>
      <c r="AK2" s="640" t="s">
        <v>148</v>
      </c>
      <c r="AL2" s="634"/>
      <c r="AM2" s="637"/>
      <c r="AN2" s="640" t="s">
        <v>177</v>
      </c>
      <c r="AO2" s="634"/>
      <c r="AP2" s="637"/>
      <c r="AQ2" s="640" t="s">
        <v>182</v>
      </c>
      <c r="AR2" s="634"/>
      <c r="AS2" s="637"/>
      <c r="AT2" s="640" t="s">
        <v>183</v>
      </c>
      <c r="AU2" s="634"/>
      <c r="AV2" s="637"/>
      <c r="AW2" s="640" t="s">
        <v>161</v>
      </c>
      <c r="AX2" s="634"/>
      <c r="AY2" s="637"/>
      <c r="AZ2" s="640" t="s">
        <v>199</v>
      </c>
      <c r="BA2" s="634"/>
      <c r="BB2" s="637"/>
      <c r="BC2" s="640" t="s">
        <v>184</v>
      </c>
      <c r="BD2" s="634"/>
      <c r="BE2" s="637"/>
      <c r="BF2" s="640" t="s">
        <v>178</v>
      </c>
      <c r="BG2" s="634"/>
      <c r="BH2" s="637"/>
      <c r="BI2" s="640" t="s">
        <v>185</v>
      </c>
      <c r="BJ2" s="634"/>
      <c r="BK2" s="637"/>
      <c r="BL2" s="640" t="s">
        <v>186</v>
      </c>
      <c r="BM2" s="634"/>
      <c r="BN2" s="634"/>
      <c r="BO2" s="640" t="s">
        <v>259</v>
      </c>
      <c r="BP2" s="634"/>
      <c r="BQ2" s="637"/>
      <c r="BR2" s="640" t="s">
        <v>293</v>
      </c>
      <c r="BS2" s="634"/>
      <c r="BT2" s="637"/>
      <c r="BU2" s="640" t="s">
        <v>294</v>
      </c>
      <c r="BV2" s="634"/>
      <c r="BW2" s="634"/>
      <c r="BX2" s="640" t="s">
        <v>254</v>
      </c>
      <c r="BY2" s="634"/>
      <c r="BZ2" s="637"/>
      <c r="CA2" s="640" t="s">
        <v>255</v>
      </c>
      <c r="CB2" s="634"/>
      <c r="CC2" s="637"/>
      <c r="CD2" s="640" t="s">
        <v>256</v>
      </c>
      <c r="CE2" s="634"/>
      <c r="CF2" s="637"/>
      <c r="CG2" s="634" t="s">
        <v>257</v>
      </c>
      <c r="CH2" s="634"/>
      <c r="CI2" s="637"/>
      <c r="CJ2" s="634" t="s">
        <v>302</v>
      </c>
      <c r="CK2" s="634"/>
      <c r="CL2" s="637"/>
      <c r="CM2" s="634" t="s">
        <v>330</v>
      </c>
      <c r="CN2" s="634"/>
      <c r="CO2" s="637"/>
      <c r="CP2" s="634" t="s">
        <v>420</v>
      </c>
      <c r="CQ2" s="634"/>
      <c r="CR2" s="637"/>
      <c r="CS2" s="634" t="s">
        <v>453</v>
      </c>
      <c r="CT2" s="634"/>
      <c r="CU2" s="637"/>
      <c r="CV2" s="634" t="s">
        <v>483</v>
      </c>
      <c r="CW2" s="634"/>
      <c r="CX2" s="637"/>
      <c r="CY2" s="634" t="s">
        <v>484</v>
      </c>
      <c r="CZ2" s="634"/>
      <c r="DA2" s="637"/>
      <c r="DB2" s="634" t="s">
        <v>485</v>
      </c>
      <c r="DC2" s="634"/>
      <c r="DD2" s="637"/>
      <c r="DE2" s="634" t="s">
        <v>455</v>
      </c>
      <c r="DF2" s="634"/>
      <c r="DG2" s="637"/>
    </row>
    <row r="3" spans="1:111" ht="15.75" thickBot="1" x14ac:dyDescent="0.3">
      <c r="B3" s="646"/>
      <c r="C3" s="648"/>
      <c r="D3" s="238" t="s">
        <v>81</v>
      </c>
      <c r="E3" s="46" t="s">
        <v>82</v>
      </c>
      <c r="F3" s="192" t="s">
        <v>83</v>
      </c>
      <c r="G3" s="238" t="s">
        <v>81</v>
      </c>
      <c r="H3" s="46" t="s">
        <v>82</v>
      </c>
      <c r="I3" s="192" t="s">
        <v>83</v>
      </c>
      <c r="J3" s="238" t="s">
        <v>81</v>
      </c>
      <c r="K3" s="46" t="s">
        <v>82</v>
      </c>
      <c r="L3" s="192" t="s">
        <v>83</v>
      </c>
      <c r="M3" s="238" t="s">
        <v>81</v>
      </c>
      <c r="N3" s="46" t="s">
        <v>82</v>
      </c>
      <c r="O3" s="192" t="s">
        <v>83</v>
      </c>
      <c r="P3" s="238" t="s">
        <v>81</v>
      </c>
      <c r="Q3" s="46" t="s">
        <v>82</v>
      </c>
      <c r="R3" s="192" t="s">
        <v>83</v>
      </c>
      <c r="S3" s="238" t="s">
        <v>81</v>
      </c>
      <c r="T3" s="46" t="s">
        <v>82</v>
      </c>
      <c r="U3" s="192" t="s">
        <v>83</v>
      </c>
      <c r="V3" s="46" t="s">
        <v>81</v>
      </c>
      <c r="W3" s="46" t="s">
        <v>82</v>
      </c>
      <c r="X3" s="192" t="s">
        <v>83</v>
      </c>
      <c r="Y3" s="238" t="s">
        <v>81</v>
      </c>
      <c r="Z3" s="46" t="s">
        <v>82</v>
      </c>
      <c r="AA3" s="192" t="s">
        <v>83</v>
      </c>
      <c r="AB3" s="238" t="s">
        <v>81</v>
      </c>
      <c r="AC3" s="46" t="s">
        <v>82</v>
      </c>
      <c r="AD3" s="192" t="s">
        <v>83</v>
      </c>
      <c r="AE3" s="238" t="s">
        <v>81</v>
      </c>
      <c r="AF3" s="46" t="s">
        <v>82</v>
      </c>
      <c r="AG3" s="46" t="s">
        <v>83</v>
      </c>
      <c r="AH3" s="238" t="s">
        <v>81</v>
      </c>
      <c r="AI3" s="46" t="s">
        <v>82</v>
      </c>
      <c r="AJ3" s="192" t="s">
        <v>83</v>
      </c>
      <c r="AK3" s="238" t="s">
        <v>81</v>
      </c>
      <c r="AL3" s="46" t="s">
        <v>82</v>
      </c>
      <c r="AM3" s="192" t="s">
        <v>83</v>
      </c>
      <c r="AN3" s="238" t="s">
        <v>81</v>
      </c>
      <c r="AO3" s="46" t="s">
        <v>82</v>
      </c>
      <c r="AP3" s="192" t="s">
        <v>83</v>
      </c>
      <c r="AQ3" s="238" t="s">
        <v>81</v>
      </c>
      <c r="AR3" s="46" t="s">
        <v>82</v>
      </c>
      <c r="AS3" s="192" t="s">
        <v>83</v>
      </c>
      <c r="AT3" s="238" t="s">
        <v>81</v>
      </c>
      <c r="AU3" s="46" t="s">
        <v>82</v>
      </c>
      <c r="AV3" s="192" t="s">
        <v>83</v>
      </c>
      <c r="AW3" s="238" t="s">
        <v>81</v>
      </c>
      <c r="AX3" s="46" t="s">
        <v>82</v>
      </c>
      <c r="AY3" s="192" t="s">
        <v>83</v>
      </c>
      <c r="AZ3" s="238" t="s">
        <v>81</v>
      </c>
      <c r="BA3" s="46" t="s">
        <v>82</v>
      </c>
      <c r="BB3" s="192" t="s">
        <v>83</v>
      </c>
      <c r="BC3" s="238" t="s">
        <v>81</v>
      </c>
      <c r="BD3" s="46" t="s">
        <v>82</v>
      </c>
      <c r="BE3" s="192" t="s">
        <v>83</v>
      </c>
      <c r="BF3" s="238" t="s">
        <v>81</v>
      </c>
      <c r="BG3" s="46" t="s">
        <v>82</v>
      </c>
      <c r="BH3" s="192" t="s">
        <v>83</v>
      </c>
      <c r="BI3" s="238" t="s">
        <v>81</v>
      </c>
      <c r="BJ3" s="46" t="s">
        <v>82</v>
      </c>
      <c r="BK3" s="192" t="s">
        <v>83</v>
      </c>
      <c r="BL3" s="238" t="s">
        <v>81</v>
      </c>
      <c r="BM3" s="46" t="s">
        <v>82</v>
      </c>
      <c r="BN3" s="46" t="s">
        <v>83</v>
      </c>
      <c r="BO3" s="238" t="s">
        <v>81</v>
      </c>
      <c r="BP3" s="46" t="s">
        <v>82</v>
      </c>
      <c r="BQ3" s="192" t="s">
        <v>83</v>
      </c>
      <c r="BR3" s="238" t="s">
        <v>81</v>
      </c>
      <c r="BS3" s="46" t="s">
        <v>82</v>
      </c>
      <c r="BT3" s="192" t="s">
        <v>83</v>
      </c>
      <c r="BU3" s="46" t="s">
        <v>81</v>
      </c>
      <c r="BV3" s="46" t="s">
        <v>82</v>
      </c>
      <c r="BW3" s="46" t="s">
        <v>83</v>
      </c>
      <c r="BX3" s="34" t="s">
        <v>81</v>
      </c>
      <c r="BY3" s="40" t="s">
        <v>82</v>
      </c>
      <c r="BZ3" s="437" t="s">
        <v>83</v>
      </c>
      <c r="CA3" s="34" t="s">
        <v>81</v>
      </c>
      <c r="CB3" s="40" t="s">
        <v>82</v>
      </c>
      <c r="CC3" s="437" t="s">
        <v>83</v>
      </c>
      <c r="CD3" s="34" t="s">
        <v>81</v>
      </c>
      <c r="CE3" s="40" t="s">
        <v>82</v>
      </c>
      <c r="CF3" s="437" t="s">
        <v>83</v>
      </c>
      <c r="CG3" s="40" t="s">
        <v>81</v>
      </c>
      <c r="CH3" s="40" t="s">
        <v>82</v>
      </c>
      <c r="CI3" s="437" t="s">
        <v>83</v>
      </c>
      <c r="CJ3" s="40" t="s">
        <v>81</v>
      </c>
      <c r="CK3" s="40" t="s">
        <v>82</v>
      </c>
      <c r="CL3" s="437" t="s">
        <v>83</v>
      </c>
      <c r="CM3" s="40" t="s">
        <v>81</v>
      </c>
      <c r="CN3" s="40" t="s">
        <v>82</v>
      </c>
      <c r="CO3" s="437" t="s">
        <v>83</v>
      </c>
      <c r="CP3" s="40" t="s">
        <v>81</v>
      </c>
      <c r="CQ3" s="40" t="s">
        <v>82</v>
      </c>
      <c r="CR3" s="437" t="s">
        <v>83</v>
      </c>
      <c r="CS3" s="40" t="s">
        <v>81</v>
      </c>
      <c r="CT3" s="40" t="s">
        <v>82</v>
      </c>
      <c r="CU3" s="437" t="s">
        <v>83</v>
      </c>
      <c r="CV3" s="40" t="s">
        <v>81</v>
      </c>
      <c r="CW3" s="40" t="s">
        <v>82</v>
      </c>
      <c r="CX3" s="437" t="s">
        <v>83</v>
      </c>
      <c r="CY3" s="40" t="s">
        <v>81</v>
      </c>
      <c r="CZ3" s="40" t="s">
        <v>82</v>
      </c>
      <c r="DA3" s="437" t="s">
        <v>83</v>
      </c>
      <c r="DB3" s="40" t="s">
        <v>81</v>
      </c>
      <c r="DC3" s="40" t="s">
        <v>82</v>
      </c>
      <c r="DD3" s="437" t="s">
        <v>83</v>
      </c>
      <c r="DE3" s="40" t="s">
        <v>81</v>
      </c>
      <c r="DF3" s="40" t="s">
        <v>82</v>
      </c>
      <c r="DG3" s="437" t="s">
        <v>83</v>
      </c>
    </row>
    <row r="4" spans="1:111" x14ac:dyDescent="0.25">
      <c r="B4" s="644" t="s">
        <v>7</v>
      </c>
      <c r="C4" s="171" t="s">
        <v>26</v>
      </c>
      <c r="D4" s="172">
        <f>Viability!I11</f>
        <v>39.009623383749997</v>
      </c>
      <c r="E4" s="173">
        <f>Viability!X5</f>
        <v>10.472338025582244</v>
      </c>
      <c r="F4" s="174">
        <f>Viability!Y5</f>
        <v>4</v>
      </c>
      <c r="G4" s="175">
        <f>Viability!W5</f>
        <v>39.009623383749997</v>
      </c>
      <c r="H4" s="173">
        <f>STDEV(Viability!I3:I10)</f>
        <v>11.870245272543949</v>
      </c>
      <c r="I4" s="174">
        <v>8</v>
      </c>
      <c r="J4" s="175">
        <f>AVERAGE('Biochem Summary'!G3:G10)</f>
        <v>74.888081067835444</v>
      </c>
      <c r="K4" s="177">
        <f>STDEV('Biochem Summary'!G3:G10)</f>
        <v>3.6373382469888731</v>
      </c>
      <c r="L4" s="178">
        <f>COUNT('Biochem Summary'!G3:G10)</f>
        <v>6</v>
      </c>
      <c r="M4" s="175">
        <f>AVERAGE('Biochem Summary'!H3:H10)</f>
        <v>1.2432735914878772</v>
      </c>
      <c r="N4" s="177">
        <f>STDEV('Biochem Summary'!H3:H10)</f>
        <v>7.4529071236023814E-2</v>
      </c>
      <c r="O4" s="178">
        <f>COUNT('Biochem Summary'!H3:H10)</f>
        <v>8</v>
      </c>
      <c r="P4" s="175">
        <f>AVERAGE('Biochem Summary'!I3:I10)</f>
        <v>70.351559273504279</v>
      </c>
      <c r="Q4" s="177">
        <f>STDEV('Biochem Summary'!I3:I10)</f>
        <v>20.103523761517309</v>
      </c>
      <c r="R4" s="178">
        <f>COUNT('Biochem Summary'!I3:I10)</f>
        <v>6</v>
      </c>
      <c r="S4" s="175">
        <f>AVERAGE('Biochem Summary'!J3:J10)</f>
        <v>150.83507151554576</v>
      </c>
      <c r="T4" s="177">
        <f>STDEV('Biochem Summary'!J3:J10)</f>
        <v>51.74052017571379</v>
      </c>
      <c r="U4" s="178">
        <f>COUNT('Biochem Summary'!J3:J10)</f>
        <v>6</v>
      </c>
      <c r="V4" s="177">
        <f>AVERAGE('Biochem Summary'!K3:K10)</f>
        <v>289.983</v>
      </c>
      <c r="W4" s="177">
        <f>STDEV('Biochem Summary'!K3:K10)</f>
        <v>48.118580851849828</v>
      </c>
      <c r="X4" s="178">
        <f>COUNT('Biochem Summary'!K3:K10)</f>
        <v>6</v>
      </c>
      <c r="Y4" s="175">
        <f>AVERAGE('Biochem Summary'!L3:L10)</f>
        <v>4385.0622541445009</v>
      </c>
      <c r="Z4" s="177">
        <f>STDEV('Biochem Summary'!L3:L10)</f>
        <v>1286.6975459172977</v>
      </c>
      <c r="AA4" s="178">
        <f>COUNT('Biochem Summary'!L3:L10)</f>
        <v>6</v>
      </c>
      <c r="AB4" s="175">
        <f>AVERAGE('Biochem Summary'!M3:M10)</f>
        <v>612.40795046095752</v>
      </c>
      <c r="AC4" s="177">
        <f>STDEV('Biochem Summary'!M3:M10)</f>
        <v>109.58385475877309</v>
      </c>
      <c r="AD4" s="178">
        <f>COUNT('Biochem Summary'!M3:M10)</f>
        <v>6</v>
      </c>
      <c r="AE4" s="175">
        <f>AVERAGE('Biochem Summary'!N3:N10)</f>
        <v>81.474778924804596</v>
      </c>
      <c r="AF4" s="177">
        <f>STDEV('Biochem Summary'!N3:N10)</f>
        <v>6.5989730934521331</v>
      </c>
      <c r="AG4" s="177">
        <f>COUNT('Biochem Summary'!N3:N10)</f>
        <v>6</v>
      </c>
      <c r="AH4" s="175">
        <f>AVERAGE('Biochem Summary'!O3:O10)</f>
        <v>1217.2065724618494</v>
      </c>
      <c r="AI4" s="177">
        <f>STDEV('Biochem Summary'!O3:O10)</f>
        <v>265.52335809737377</v>
      </c>
      <c r="AJ4" s="177">
        <f>COUNT('Biochem Summary'!O3:O10)</f>
        <v>6</v>
      </c>
      <c r="AK4" s="175">
        <f>AVERAGE('Biochem Summary'!P3:P10)</f>
        <v>174.59314119348366</v>
      </c>
      <c r="AL4" s="177">
        <f>STDEV('Biochem Summary'!P3:P10)</f>
        <v>36.666753984752596</v>
      </c>
      <c r="AM4" s="177">
        <f>COUNT('Biochem Summary'!P3:P10)</f>
        <v>6</v>
      </c>
      <c r="AN4" s="300"/>
      <c r="AO4" s="301"/>
      <c r="AP4" s="301"/>
      <c r="AQ4" s="300"/>
      <c r="AR4" s="301"/>
      <c r="AS4" s="301"/>
      <c r="AT4" s="300"/>
      <c r="AU4" s="301"/>
      <c r="AV4" s="301"/>
      <c r="AW4" s="300"/>
      <c r="AX4" s="301"/>
      <c r="AY4" s="301"/>
      <c r="AZ4" s="300"/>
      <c r="BA4" s="301"/>
      <c r="BB4" s="301"/>
      <c r="BC4" s="300"/>
      <c r="BD4" s="301"/>
      <c r="BE4" s="301"/>
      <c r="BF4" s="300"/>
      <c r="BG4" s="301"/>
      <c r="BH4" s="301"/>
      <c r="BI4" s="300"/>
      <c r="BJ4" s="301"/>
      <c r="BK4" s="301"/>
      <c r="BL4" s="300"/>
      <c r="BM4" s="301"/>
      <c r="BN4" s="305"/>
      <c r="BO4" s="175">
        <f>AVERAGE('H&amp;E'!L3:L5)</f>
        <v>2619.6666666666665</v>
      </c>
      <c r="BP4" s="177">
        <f>STDEV('H&amp;E'!L3:L5)</f>
        <v>383.67078444068943</v>
      </c>
      <c r="BQ4" s="178">
        <f>COUNT('H&amp;E'!L3:L5)</f>
        <v>3</v>
      </c>
      <c r="BR4" s="574">
        <f>AVERAGE('H&amp;E'!M3:M8)</f>
        <v>3.0663333333333341E-3</v>
      </c>
      <c r="BS4" s="575">
        <f>STDEV('H&amp;E'!M3:M8)</f>
        <v>9.7108901068165051E-4</v>
      </c>
      <c r="BT4" s="178">
        <f>COUNT('H&amp;E'!M3:M8)</f>
        <v>6</v>
      </c>
      <c r="BU4" s="446">
        <f>AVERAGE('H&amp;E'!N3:N8)</f>
        <v>3.4493829967168126</v>
      </c>
      <c r="BV4" s="447">
        <f>STDEV('H&amp;E'!N3:N8)</f>
        <v>0.61054765454578308</v>
      </c>
      <c r="BW4" s="451">
        <f>COUNT('H&amp;E'!N3:N8)</f>
        <v>6</v>
      </c>
      <c r="BX4" s="259">
        <f>AVERAGE(SHG!X7:X9)</f>
        <v>1.8753855902777776</v>
      </c>
      <c r="BY4" s="210">
        <f>STDEV(SHG!X7:X9)</f>
        <v>2.399239801891942E-2</v>
      </c>
      <c r="BZ4" s="211">
        <f>COUNT(SHG!X7:X9)</f>
        <v>3</v>
      </c>
      <c r="CA4" s="259">
        <f>AVERAGE(SHG!Y7:Y9)</f>
        <v>29.199280316840277</v>
      </c>
      <c r="CB4" s="210">
        <f>STDEV(SHG!Y7:Y9)</f>
        <v>7.2258771590716222</v>
      </c>
      <c r="CC4" s="211">
        <f>COUNT(SHG!Y7:Y9)</f>
        <v>3</v>
      </c>
      <c r="CD4" s="259">
        <f>AVERAGE(SHG!Z7:Z9)</f>
        <v>0.93122222222222228</v>
      </c>
      <c r="CE4" s="210">
        <f>STDEV(SHG!Z7:Z9)</f>
        <v>1.3459128803460795E-2</v>
      </c>
      <c r="CF4" s="211">
        <f>COUNT(SHG!Z7:Z9)</f>
        <v>3</v>
      </c>
      <c r="CG4" s="210">
        <f>AVERAGE(SHG!AA7:AA9)</f>
        <v>86.662222222222226</v>
      </c>
      <c r="CH4" s="210">
        <f>STDEV(SHG!AA7:AA9)</f>
        <v>4.5343446584353782</v>
      </c>
      <c r="CI4" s="211">
        <f>COUNT(SHG!AA7:AA9)</f>
        <v>3</v>
      </c>
      <c r="CJ4" s="210">
        <f>AVERAGE(SHG!AB7:AB9)</f>
        <v>0.98122222222222222</v>
      </c>
      <c r="CK4" s="210">
        <f>STDEV(SHG!AB7:AB9)</f>
        <v>8.3688133589557394E-3</v>
      </c>
      <c r="CL4" s="211">
        <v>3</v>
      </c>
      <c r="CM4" s="210">
        <f>AVERAGE(TolBlue!F34:F38)</f>
        <v>0.13922298900292543</v>
      </c>
      <c r="CN4" s="210">
        <f>STDEV(TolBlue!F34:F38)</f>
        <v>7.1379706933835496E-2</v>
      </c>
      <c r="CO4" s="211">
        <v>5</v>
      </c>
      <c r="CP4" s="210">
        <f>AVERAGE('Biochem Summary'!Z3:Z10)</f>
        <v>4.0598559636228799</v>
      </c>
      <c r="CQ4" s="210">
        <f>STDEV('Biochem Summary'!Z3:Z10)</f>
        <v>0.64663023933216279</v>
      </c>
      <c r="CR4" s="211">
        <f>COUNT('Biochem Summary'!Z3:Z10)</f>
        <v>6</v>
      </c>
      <c r="CS4" s="210">
        <f>AVERAGE(Mechanics!H20:H27)</f>
        <v>26.262049999999999</v>
      </c>
      <c r="CT4" s="210">
        <f>STDEV(Mechanics!H20:H27)</f>
        <v>9.6999647178224393</v>
      </c>
      <c r="CU4" s="211">
        <f>COUNT(Mechanics!H20:H27)</f>
        <v>6</v>
      </c>
      <c r="CV4" s="210">
        <f>AVERAGE(Mechanics!I20:I27)</f>
        <v>72.992428571428576</v>
      </c>
      <c r="CW4" s="210">
        <f>STDEV(Mechanics!I20:I27)</f>
        <v>41.981269882957484</v>
      </c>
      <c r="CX4" s="211">
        <f>COUNT(Mechanics!I20:I27)</f>
        <v>7</v>
      </c>
      <c r="CY4" s="210">
        <f>AVERAGE(Mechanics!J20:J27)</f>
        <v>4.3769428571428568</v>
      </c>
      <c r="CZ4" s="210">
        <f>STDEV(Mechanics!J20:J27)</f>
        <v>1.5747807062753691</v>
      </c>
      <c r="DA4" s="211">
        <f>COUNT(Mechanics!J20:J27)</f>
        <v>7</v>
      </c>
      <c r="DB4" s="210">
        <f>AVERAGE(Mechanics!K20:K27)</f>
        <v>8.3102571428571412</v>
      </c>
      <c r="DC4" s="210">
        <f>STDEV(Mechanics!K20:K27)</f>
        <v>4.173577653467567</v>
      </c>
      <c r="DD4" s="211">
        <f>COUNT(Mechanics!K20:K27)</f>
        <v>7</v>
      </c>
      <c r="DE4" s="210">
        <f>AVERAGE(Mechanics!L20:L27)</f>
        <v>0.18911428571428573</v>
      </c>
      <c r="DF4" s="210">
        <f>STDEV(Mechanics!L20:L27)</f>
        <v>5.1784503105704885E-2</v>
      </c>
      <c r="DG4" s="211">
        <f>COUNT(Mechanics!L20:L27)</f>
        <v>7</v>
      </c>
    </row>
    <row r="5" spans="1:111" x14ac:dyDescent="0.25">
      <c r="B5" s="645"/>
      <c r="C5" s="179" t="s">
        <v>11</v>
      </c>
      <c r="D5" s="180">
        <f>Viability!I20</f>
        <v>29.2697262475</v>
      </c>
      <c r="E5" s="181">
        <f>Viability!X6</f>
        <v>5.5703797065970457</v>
      </c>
      <c r="F5" s="182">
        <f>Viability!Y6</f>
        <v>4</v>
      </c>
      <c r="G5" s="180">
        <f>Viability!W6</f>
        <v>29.2697262475</v>
      </c>
      <c r="H5" s="181">
        <f>STDEV(Viability!I12:I19)</f>
        <v>5.3427391761351855</v>
      </c>
      <c r="I5" s="182">
        <v>8</v>
      </c>
      <c r="J5" s="183">
        <f>AVERAGE('Biochem Summary'!G11:G25)</f>
        <v>71.59874439618649</v>
      </c>
      <c r="K5" s="184">
        <f>STDEV('Biochem Summary'!G11:G25)</f>
        <v>5.1045507492119793</v>
      </c>
      <c r="L5" s="185">
        <f>COUNT('Biochem Summary'!G11:G25)</f>
        <v>15</v>
      </c>
      <c r="M5" s="183">
        <f>AVERAGE('Biochem Summary'!H11:H25)</f>
        <v>1.228395061728395</v>
      </c>
      <c r="N5" s="184">
        <f>STDEV('Biochem Summary'!H11:H25)</f>
        <v>0.30505945510292104</v>
      </c>
      <c r="O5" s="185">
        <f>COUNT('Biochem Summary'!H11:H25)</f>
        <v>6</v>
      </c>
      <c r="P5" s="183">
        <f>AVERAGE('Biochem Summary'!I11:I25)</f>
        <v>91.490952380952365</v>
      </c>
      <c r="Q5" s="184">
        <f>STDEV('Biochem Summary'!I11:I25)</f>
        <v>10.553243084908669</v>
      </c>
      <c r="R5" s="185">
        <f>COUNT('Biochem Summary'!I11:I25)</f>
        <v>15</v>
      </c>
      <c r="S5" s="183">
        <f>AVERAGE('Biochem Summary'!J11:J25)</f>
        <v>168.75377335577886</v>
      </c>
      <c r="T5" s="184">
        <f>STDEV('Biochem Summary'!J11:J25)</f>
        <v>21.459115645475926</v>
      </c>
      <c r="U5" s="185">
        <f>COUNT('Biochem Summary'!J11:J25)</f>
        <v>15</v>
      </c>
      <c r="V5" s="184">
        <f>AVERAGE('Biochem Summary'!K11:K25)</f>
        <v>292.66826666666668</v>
      </c>
      <c r="W5" s="184">
        <f>STDEV('Biochem Summary'!K11:K25)</f>
        <v>21.755594369090041</v>
      </c>
      <c r="X5" s="185">
        <f>COUNT('Biochem Summary'!K11:K25)</f>
        <v>15</v>
      </c>
      <c r="Y5" s="183">
        <f>AVERAGE('Biochem Summary'!L11:L25)</f>
        <v>3217.5843829666105</v>
      </c>
      <c r="Z5" s="184">
        <f>STDEV('Biochem Summary'!L11:L25)</f>
        <v>220.33843217710535</v>
      </c>
      <c r="AA5" s="185">
        <f>COUNT('Biochem Summary'!L11:L25)</f>
        <v>15</v>
      </c>
      <c r="AB5" s="183">
        <f>AVERAGE('Biochem Summary'!M11:M25)</f>
        <v>541.31631641954789</v>
      </c>
      <c r="AC5" s="184">
        <f>STDEV('Biochem Summary'!M11:M25)</f>
        <v>66.380663389456586</v>
      </c>
      <c r="AD5" s="185">
        <f>COUNT('Biochem Summary'!M11:M25)</f>
        <v>15</v>
      </c>
      <c r="AE5" s="183">
        <f>AVERAGE('Biochem Summary'!N11:N25)</f>
        <v>118.70116295073311</v>
      </c>
      <c r="AF5" s="184">
        <f>STDEV('Biochem Summary'!N11:N25)</f>
        <v>12.089903681004104</v>
      </c>
      <c r="AG5" s="291">
        <f>COUNT('Biochem Summary'!N11:N25)</f>
        <v>15</v>
      </c>
      <c r="AH5" s="183">
        <f>AVERAGE('Biochem Summary'!O11:O25)</f>
        <v>1306.6447485801561</v>
      </c>
      <c r="AI5" s="184">
        <f>STDEV('Biochem Summary'!O11:O25)</f>
        <v>144.75260845930836</v>
      </c>
      <c r="AJ5" s="291">
        <f>COUNT('Biochem Summary'!O11:O25)</f>
        <v>15</v>
      </c>
      <c r="AK5" s="183">
        <f>AVERAGE('Biochem Summary'!P11:P25)</f>
        <v>218.00680549622405</v>
      </c>
      <c r="AL5" s="184">
        <f>STDEV('Biochem Summary'!P11:P25)</f>
        <v>14.92895707103559</v>
      </c>
      <c r="AM5" s="291">
        <f>COUNT('Biochem Summary'!P11:P25)</f>
        <v>15</v>
      </c>
      <c r="AN5" s="368">
        <f>AVERAGE('Biochem Summary'!Q11:Q25)</f>
        <v>4.8484536436295177E-3</v>
      </c>
      <c r="AO5" s="369">
        <f>STDEV('Biochem Summary'!Q11:Q25)</f>
        <v>1.2483310647057664E-3</v>
      </c>
      <c r="AP5" s="291">
        <f>COUNT('Biochem Summary'!Q11:Q25)</f>
        <v>5</v>
      </c>
      <c r="AQ5" s="368">
        <f>AVERAGE('Biochem Summary'!R11:R25)</f>
        <v>5.1904856490301957E-5</v>
      </c>
      <c r="AR5" s="369">
        <f>STDEV('Biochem Summary'!R11:R25)</f>
        <v>1.0080833121014269E-5</v>
      </c>
      <c r="AS5" s="291">
        <f>COUNT('Biochem Summary'!R11:R25)</f>
        <v>5</v>
      </c>
      <c r="AT5" s="368">
        <f>AVERAGE('Biochem Summary'!S11:S25)</f>
        <v>8.3860995965714981E-3</v>
      </c>
      <c r="AU5" s="369">
        <f>STDEV('Biochem Summary'!S11:S25)</f>
        <v>2.1818106568087837E-3</v>
      </c>
      <c r="AV5" s="291">
        <f>COUNT('Biochem Summary'!S11:S25)</f>
        <v>5</v>
      </c>
      <c r="AW5" s="183">
        <f>AVERAGE('Biochem Summary'!T11:T25)</f>
        <v>1.9834733165320102</v>
      </c>
      <c r="AX5" s="184">
        <f>STDEV('Biochem Summary'!T11:T25)</f>
        <v>0.5731473994960552</v>
      </c>
      <c r="AY5" s="291">
        <f>COUNT('Biochem Summary'!T11:T25)</f>
        <v>5</v>
      </c>
      <c r="AZ5" s="368">
        <f>AVERAGE('Biochem Summary'!U11:U25)</f>
        <v>2.1413164405776744E-2</v>
      </c>
      <c r="BA5" s="369">
        <f>STDEV('Biochem Summary'!U11:U25)</f>
        <v>5.7307450410609348E-3</v>
      </c>
      <c r="BB5" s="291">
        <f>COUNT('Biochem Summary'!U11:U25)</f>
        <v>5</v>
      </c>
      <c r="BC5" s="183">
        <f>AVERAGE('Biochem Summary'!V11:V25)</f>
        <v>3.4244621978342358</v>
      </c>
      <c r="BD5" s="184">
        <f>STDEV('Biochem Summary'!V11:V25)</f>
        <v>0.96270110859920943</v>
      </c>
      <c r="BE5" s="291">
        <f>COUNT('Biochem Summary'!V11:V25)</f>
        <v>5</v>
      </c>
      <c r="BF5" s="358">
        <f>AVERAGE('Biochem Summary'!W11:W25)</f>
        <v>4.5116613502193259E-3</v>
      </c>
      <c r="BG5" s="359">
        <f>STDEV('Biochem Summary'!W11:W25)</f>
        <v>1.6709628661162939E-3</v>
      </c>
      <c r="BH5" s="291">
        <f>COUNT('Biochem Summary'!W11:W25)</f>
        <v>4</v>
      </c>
      <c r="BI5" s="358">
        <f>AVERAGE('Biochem Summary'!X11:X25)</f>
        <v>5.1017146491244051E-5</v>
      </c>
      <c r="BJ5" s="359">
        <f>STDEV('Biochem Summary'!X11:X25)</f>
        <v>2.1323868445567391E-5</v>
      </c>
      <c r="BK5" s="291">
        <f>COUNT('Biochem Summary'!X11:X25)</f>
        <v>4</v>
      </c>
      <c r="BL5" s="353">
        <f>AVERAGE('Biochem Summary'!Y11:Y25)</f>
        <v>8.1070354257165422E-3</v>
      </c>
      <c r="BM5" s="348">
        <f>STDEV('Biochem Summary'!Y11:Y25)</f>
        <v>3.2881140628905747E-3</v>
      </c>
      <c r="BN5" s="185">
        <f>COUNT('Biochem Summary'!Y11:Y25)</f>
        <v>4</v>
      </c>
      <c r="BO5" s="183">
        <f>AVERAGE('H&amp;E'!L9:L11)</f>
        <v>2532.3333333333335</v>
      </c>
      <c r="BP5" s="184">
        <f>STDEV('H&amp;E'!L9:L11)</f>
        <v>690.22411819157253</v>
      </c>
      <c r="BQ5" s="185">
        <f>COUNT('H&amp;E'!L9:L11)</f>
        <v>3</v>
      </c>
      <c r="BR5" s="576">
        <f>AVERAGE('H&amp;E'!M9:M11)</f>
        <v>3.0559999999999997E-3</v>
      </c>
      <c r="BS5" s="577">
        <f>STDEV('H&amp;E'!M9:M11)</f>
        <v>1.5890273754721785E-3</v>
      </c>
      <c r="BT5" s="185">
        <f>COUNT('H&amp;E'!M9:M11)</f>
        <v>3</v>
      </c>
      <c r="BU5" s="358">
        <f>AVERAGE('H&amp;E'!N9:N11)</f>
        <v>3.383926666666667</v>
      </c>
      <c r="BV5" s="359">
        <f>STDEV('H&amp;E'!N9:N11)</f>
        <v>0.72018559561638673</v>
      </c>
      <c r="BW5" s="291">
        <f>COUNT('H&amp;E'!N9:N11)</f>
        <v>3</v>
      </c>
      <c r="BX5" s="257">
        <f>AVERAGE(SHG!X10:X12)</f>
        <v>1.8252814959490742</v>
      </c>
      <c r="BY5" s="162">
        <f>STDEV(SHG!X10:X12)</f>
        <v>8.5454427180825979E-2</v>
      </c>
      <c r="BZ5" s="165">
        <v>3</v>
      </c>
      <c r="CA5" s="257">
        <f>AVERAGE(SHG!Y10:Y12)</f>
        <v>34.359469010416667</v>
      </c>
      <c r="CB5" s="162">
        <f>STDEV(SHG!Y10:Y12)</f>
        <v>9.1701703140507149</v>
      </c>
      <c r="CC5" s="165">
        <v>3</v>
      </c>
      <c r="CD5" s="257">
        <f>AVERAGE(SHG!Z10:Z12)</f>
        <v>0.93681481481481477</v>
      </c>
      <c r="CE5" s="162">
        <f>STDEV(SHG!Z10:Z12)</f>
        <v>1.3556162706500043E-2</v>
      </c>
      <c r="CF5" s="165">
        <v>3</v>
      </c>
      <c r="CG5" s="162">
        <f>AVERAGE(SHG!AA10:AA12)</f>
        <v>87.57</v>
      </c>
      <c r="CH5" s="162">
        <f>STDEV(SHG!AA10:AA12)</f>
        <v>9.7814864809893614</v>
      </c>
      <c r="CI5" s="165">
        <v>3</v>
      </c>
      <c r="CJ5" s="162">
        <f>AVERAGE(SHG!AB10:AB12)</f>
        <v>0.99207407407407411</v>
      </c>
      <c r="CK5" s="162">
        <f>STDEV(SHG!AB10:AB12)</f>
        <v>3.9601928705578432E-3</v>
      </c>
      <c r="CL5" s="165">
        <v>3</v>
      </c>
      <c r="CM5" s="162"/>
      <c r="CN5" s="162"/>
      <c r="CO5" s="165"/>
      <c r="CP5" s="162">
        <f>AVERAGE('Biochem Summary'!Z11:Z25)</f>
        <v>3.6166498967305767</v>
      </c>
      <c r="CQ5" s="162">
        <f>STDEV('Biochem Summary'!Z11:Z25)</f>
        <v>0.57798005936769192</v>
      </c>
      <c r="CR5" s="165">
        <f>COUNT('Biochem Summary'!Z11:Z25)</f>
        <v>15</v>
      </c>
      <c r="CS5" s="162"/>
      <c r="CT5" s="162"/>
      <c r="CU5" s="165"/>
      <c r="CV5" s="162"/>
      <c r="CW5" s="162"/>
      <c r="CX5" s="165"/>
      <c r="CY5" s="162"/>
      <c r="CZ5" s="162"/>
      <c r="DA5" s="165"/>
      <c r="DB5" s="162"/>
      <c r="DC5" s="162"/>
      <c r="DD5" s="165"/>
      <c r="DE5" s="162"/>
      <c r="DF5" s="162"/>
      <c r="DG5" s="165"/>
    </row>
    <row r="6" spans="1:111" x14ac:dyDescent="0.25">
      <c r="B6" s="645"/>
      <c r="C6" s="186" t="s">
        <v>12</v>
      </c>
      <c r="D6" s="180">
        <f>Viability!I29</f>
        <v>28.728126558750006</v>
      </c>
      <c r="E6" s="181">
        <f>Viability!X7</f>
        <v>4.7154309906825498</v>
      </c>
      <c r="F6" s="182">
        <f>Viability!Y7</f>
        <v>4</v>
      </c>
      <c r="G6" s="183">
        <f>Viability!W7</f>
        <v>28.728126558750002</v>
      </c>
      <c r="H6" s="181">
        <f>STDEV(Viability!I21:I28)</f>
        <v>7.5141947319165672</v>
      </c>
      <c r="I6" s="182">
        <v>8</v>
      </c>
      <c r="J6" s="183">
        <f>AVERAGE('Biochem Summary'!G26:G41)</f>
        <v>72.66703930016665</v>
      </c>
      <c r="K6" s="184">
        <f>STDEV('Biochem Summary'!G26:G41)</f>
        <v>1.9725636487759344</v>
      </c>
      <c r="L6" s="185">
        <f>COUNT('Biochem Summary'!G26:G41)</f>
        <v>16</v>
      </c>
      <c r="M6" s="183">
        <f>AVERAGE('Biochem Summary'!H26:H36)</f>
        <v>1.9259259259259258</v>
      </c>
      <c r="N6" s="184">
        <f>STDEV('Biochem Summary'!H26:H36)</f>
        <v>0.25005897795403986</v>
      </c>
      <c r="O6" s="185">
        <f>COUNT('Biochem Summary'!H26:H36)</f>
        <v>6</v>
      </c>
      <c r="P6" s="183">
        <f>AVERAGE('Biochem Summary'!I26:I41)</f>
        <v>40.664902503434057</v>
      </c>
      <c r="Q6" s="184">
        <f>STDEV('Biochem Summary'!I26:I41)</f>
        <v>15.807719628783456</v>
      </c>
      <c r="R6" s="185">
        <f>COUNT('Biochem Summary'!I26:I41)</f>
        <v>16</v>
      </c>
      <c r="S6" s="183">
        <f>AVERAGE('Biochem Summary'!J26:J41)</f>
        <v>74.876334703624096</v>
      </c>
      <c r="T6" s="184">
        <f>STDEV('Biochem Summary'!J26:J41)</f>
        <v>29.535622840176938</v>
      </c>
      <c r="U6" s="185">
        <f>COUNT('Biochem Summary'!J26:J41)</f>
        <v>16</v>
      </c>
      <c r="V6" s="183">
        <f>AVERAGE('Biochem Summary'!K26:K41)</f>
        <v>261.22458125000014</v>
      </c>
      <c r="W6" s="184">
        <f>STDEV('Biochem Summary'!K26:K41)</f>
        <v>34.391970332859586</v>
      </c>
      <c r="X6" s="185">
        <f>COUNT('Biochem Summary'!K26:K41)</f>
        <v>16</v>
      </c>
      <c r="Y6" s="183">
        <f>AVERAGE('Biochem Summary'!L26:L41)</f>
        <v>7593.5311674664181</v>
      </c>
      <c r="Z6" s="184">
        <f>STDEV('Biochem Summary'!L26:L41)</f>
        <v>3741.0345737819634</v>
      </c>
      <c r="AA6" s="185">
        <f>COUNT('Biochem Summary'!L26:L41)</f>
        <v>16</v>
      </c>
      <c r="AB6" s="183">
        <f>AVERAGE('Biochem Summary'!M26:M41)</f>
        <v>480.8551488920819</v>
      </c>
      <c r="AC6" s="184">
        <f>STDEV('Biochem Summary'!M26:M41)</f>
        <v>74.18571128035407</v>
      </c>
      <c r="AD6" s="185">
        <f>COUNT('Biochem Summary'!M26:M41)</f>
        <v>16</v>
      </c>
      <c r="AE6" s="183">
        <f>AVERAGE('Biochem Summary'!N26:N41)</f>
        <v>95.800447451563755</v>
      </c>
      <c r="AF6" s="184">
        <f>STDEV('Biochem Summary'!N26:N41)</f>
        <v>15.043220750527787</v>
      </c>
      <c r="AG6" s="291">
        <f>COUNT('Biochem Summary'!N26:N41)</f>
        <v>16</v>
      </c>
      <c r="AH6" s="183">
        <f>AVERAGE('Biochem Summary'!O26:O41)</f>
        <v>2648.9427541530895</v>
      </c>
      <c r="AI6" s="184">
        <f>STDEV('Biochem Summary'!O26:O41)</f>
        <v>942.67624279239521</v>
      </c>
      <c r="AJ6" s="291">
        <f>COUNT('Biochem Summary'!O26:O41)</f>
        <v>16</v>
      </c>
      <c r="AK6" s="183">
        <f>AVERAGE('Biochem Summary'!P26:P41)</f>
        <v>175.98521284285681</v>
      </c>
      <c r="AL6" s="184">
        <f>STDEV('Biochem Summary'!P26:P41)</f>
        <v>27.82333316564171</v>
      </c>
      <c r="AM6" s="291">
        <f>COUNT('Biochem Summary'!P26:P41)</f>
        <v>16</v>
      </c>
      <c r="AN6" s="368">
        <f>AVERAGE('Biochem Summary'!Q26:Q41)</f>
        <v>3.1324257370506383E-3</v>
      </c>
      <c r="AO6" s="369">
        <f>STDEV('Biochem Summary'!Q26:Q41)</f>
        <v>3.5580542926156068E-3</v>
      </c>
      <c r="AP6" s="291">
        <f>COUNT('Biochem Summary'!Q26:Q41)</f>
        <v>11</v>
      </c>
      <c r="AQ6" s="368">
        <f>AVERAGE('Biochem Summary'!R26:R41)</f>
        <v>1.211678352628864E-4</v>
      </c>
      <c r="AR6" s="369">
        <f>STDEV('Biochem Summary'!R26:R41)</f>
        <v>1.3465710097376914E-4</v>
      </c>
      <c r="AS6" s="291">
        <f>COUNT('Biochem Summary'!R26:R41)</f>
        <v>11</v>
      </c>
      <c r="AT6" s="368">
        <f>AVERAGE('Biochem Summary'!S26:S41)</f>
        <v>5.8914502951008399E-3</v>
      </c>
      <c r="AU6" s="369">
        <f>STDEV('Biochem Summary'!S26:S41)</f>
        <v>7.1674475635396268E-3</v>
      </c>
      <c r="AV6" s="291">
        <f>COUNT('Biochem Summary'!S26:S41)</f>
        <v>11</v>
      </c>
      <c r="AW6" s="183">
        <f>AVERAGE('Biochem Summary'!T26:T41)</f>
        <v>3.8303052621014544</v>
      </c>
      <c r="AX6" s="184">
        <f>STDEV('Biochem Summary'!T26:T41)</f>
        <v>0.98123942484335891</v>
      </c>
      <c r="AY6" s="291">
        <f>COUNT('Biochem Summary'!T26:T41)</f>
        <v>10</v>
      </c>
      <c r="AZ6" s="368">
        <f>AVERAGE('Biochem Summary'!U26:U41)</f>
        <v>0.12447081208593187</v>
      </c>
      <c r="BA6" s="369">
        <f>STDEV('Biochem Summary'!U26:U41)</f>
        <v>7.9299318509561387E-2</v>
      </c>
      <c r="BB6" s="291">
        <f>COUNT('Biochem Summary'!U26:U41)</f>
        <v>10</v>
      </c>
      <c r="BC6" s="183">
        <f>AVERAGE('Biochem Summary'!V26:V41)</f>
        <v>6.8741700064818776</v>
      </c>
      <c r="BD6" s="184">
        <f>STDEV('Biochem Summary'!V26:V41)</f>
        <v>1.730389970220739</v>
      </c>
      <c r="BE6" s="291">
        <f>COUNT('Biochem Summary'!V26:V41)</f>
        <v>10</v>
      </c>
      <c r="BF6" s="358">
        <f>AVERAGE('Biochem Summary'!W26:W41)</f>
        <v>5.2129800546142177E-2</v>
      </c>
      <c r="BG6" s="359">
        <f>STDEV('Biochem Summary'!W26:W41)</f>
        <v>1.4686475443632196E-2</v>
      </c>
      <c r="BH6" s="291">
        <f>COUNT('Biochem Summary'!W26:W41)</f>
        <v>5</v>
      </c>
      <c r="BI6" s="358">
        <f>AVERAGE('Biochem Summary'!X26:X41)</f>
        <v>1.1997439048413796E-3</v>
      </c>
      <c r="BJ6" s="359">
        <f>STDEV('Biochem Summary'!X26:X41)</f>
        <v>3.9943219945042755E-4</v>
      </c>
      <c r="BK6" s="291">
        <f>COUNT('Biochem Summary'!X26:X41)</f>
        <v>5</v>
      </c>
      <c r="BL6" s="353">
        <f>AVERAGE('Biochem Summary'!Y26:Y41)</f>
        <v>9.7025407827409121E-2</v>
      </c>
      <c r="BM6" s="348">
        <f>STDEV('Biochem Summary'!Y26:Y41)</f>
        <v>2.6228716067032386E-2</v>
      </c>
      <c r="BN6" s="185">
        <f>COUNT('Biochem Summary'!Y26:Y41)</f>
        <v>5</v>
      </c>
      <c r="BO6" s="183">
        <f>AVERAGE('H&amp;E'!L12:L15)</f>
        <v>2136.9</v>
      </c>
      <c r="BP6" s="184">
        <f>STDEV('H&amp;E'!L12:L15)</f>
        <v>520.46323757462983</v>
      </c>
      <c r="BQ6" s="185">
        <f>COUNT('H&amp;E'!L12:L15)</f>
        <v>4</v>
      </c>
      <c r="BR6" s="576">
        <f>AVERAGE('H&amp;E'!M12:M15)</f>
        <v>3.2269999999999998E-3</v>
      </c>
      <c r="BS6" s="577">
        <f>STDEV('H&amp;E'!M12:M15)</f>
        <v>4.5494175451369587E-4</v>
      </c>
      <c r="BT6" s="185">
        <f>COUNT('H&amp;E'!M12:M15)</f>
        <v>4</v>
      </c>
      <c r="BU6" s="358">
        <f>AVERAGE('H&amp;E'!N12:N15)</f>
        <v>3.6647317500000001</v>
      </c>
      <c r="BV6" s="359">
        <f>STDEV('H&amp;E'!N12:N15)</f>
        <v>0.53069817963909671</v>
      </c>
      <c r="BW6" s="291">
        <f>COUNT('H&amp;E'!N12:N15)</f>
        <v>4</v>
      </c>
      <c r="BX6" s="257">
        <f>AVERAGE(SHG!X13:X16)</f>
        <v>1.857276158311632</v>
      </c>
      <c r="BY6" s="162">
        <f>STDEV(SHG!X13:X16)</f>
        <v>7.2707135594766492E-2</v>
      </c>
      <c r="BZ6" s="165">
        <v>4</v>
      </c>
      <c r="CA6" s="257">
        <f>AVERAGE(SHG!Y13:Y16)</f>
        <v>30.272813840060763</v>
      </c>
      <c r="CB6" s="162">
        <f>STDEV(SHG!Y13:Y16)</f>
        <v>1.513450941820196</v>
      </c>
      <c r="CC6" s="165">
        <v>4</v>
      </c>
      <c r="CD6" s="257">
        <f>AVERAGE(SHG!Z13:Z16)</f>
        <v>0.93333333333333335</v>
      </c>
      <c r="CE6" s="162">
        <f>STDEV(SHG!Z13:Z16)</f>
        <v>2.7216552697590592E-3</v>
      </c>
      <c r="CF6" s="165">
        <v>4</v>
      </c>
      <c r="CG6" s="162">
        <f>AVERAGE(SHG!AA13:AA16)</f>
        <v>90.463472222222208</v>
      </c>
      <c r="CH6" s="162">
        <f>STDEV(SHG!AA13:AA16)</f>
        <v>1.0957116535739622</v>
      </c>
      <c r="CI6" s="165">
        <v>4</v>
      </c>
      <c r="CJ6" s="162">
        <f>AVERAGE(SHG!AB13:AB16)</f>
        <v>0.98050000000000004</v>
      </c>
      <c r="CK6" s="162">
        <f>STDEV(SHG!AB13:AB16)</f>
        <v>1.2273126318490734E-2</v>
      </c>
      <c r="CL6" s="165">
        <f>4</f>
        <v>4</v>
      </c>
      <c r="CM6" s="162">
        <f>AVERAGE(TolBlue!F3:F7)</f>
        <v>0.29791305260871281</v>
      </c>
      <c r="CN6" s="162">
        <f>STDEV(TolBlue!F3:F7)</f>
        <v>1.9185381770202629E-2</v>
      </c>
      <c r="CO6" s="165">
        <f>COUNT(TolBlue!F3:F7)</f>
        <v>5</v>
      </c>
      <c r="CP6" s="162">
        <f>AVERAGE('Biochem Summary'!Z26:Z41)</f>
        <v>3.6765525200761289</v>
      </c>
      <c r="CQ6" s="162">
        <f>STDEV('Biochem Summary'!Z26:Z41)</f>
        <v>0.26593136504703602</v>
      </c>
      <c r="CR6" s="165">
        <f>COUNT('Biochem Summary'!Z26:Z41)</f>
        <v>16</v>
      </c>
      <c r="CS6" s="162">
        <f>AVERAGE(Mechanics!H2:H11)</f>
        <v>40.415099999999995</v>
      </c>
      <c r="CT6" s="162">
        <f>STDEV(Mechanics!H2:H11)</f>
        <v>16.031991877314756</v>
      </c>
      <c r="CU6" s="165">
        <f>COUNT(Mechanics!H2:H11)</f>
        <v>8</v>
      </c>
      <c r="CV6" s="162">
        <f>AVERAGE(Mechanics!I2:I11)</f>
        <v>85.750737499999985</v>
      </c>
      <c r="CW6" s="162">
        <f>STDEV(Mechanics!I2:I11)</f>
        <v>25.850142169376305</v>
      </c>
      <c r="CX6" s="165">
        <f>COUNT(Mechanics!I2:I11)</f>
        <v>8</v>
      </c>
      <c r="CY6" s="162">
        <f>AVERAGE(Mechanics!J2:J11)</f>
        <v>5.9429249999999998</v>
      </c>
      <c r="CZ6" s="162">
        <f>STDEV(Mechanics!J2:J11)</f>
        <v>2.0710064873665393</v>
      </c>
      <c r="DA6" s="165">
        <f>COUNT(Mechanics!J2:J11)</f>
        <v>8</v>
      </c>
      <c r="DB6" s="162">
        <f>AVERAGE(Mechanics!K2:K11)</f>
        <v>12.255062500000001</v>
      </c>
      <c r="DC6" s="162">
        <f>STDEV(Mechanics!K2:K11)</f>
        <v>4.039671390078829</v>
      </c>
      <c r="DD6" s="165">
        <f>COUNT(Mechanics!K2:K11)</f>
        <v>8</v>
      </c>
      <c r="DE6" s="162">
        <f>AVERAGE(Mechanics!L2:L11)</f>
        <v>0.23622500000000002</v>
      </c>
      <c r="DF6" s="162">
        <f>STDEV(Mechanics!L2:L11)</f>
        <v>0.13355270495201513</v>
      </c>
      <c r="DG6" s="165">
        <f>COUNT(Mechanics!L2:L11)</f>
        <v>8</v>
      </c>
    </row>
    <row r="7" spans="1:111" ht="15.75" thickBot="1" x14ac:dyDescent="0.3">
      <c r="B7" s="646"/>
      <c r="C7" s="187" t="s">
        <v>36</v>
      </c>
      <c r="D7" s="188">
        <f>Viability!I38</f>
        <v>36.192699250000004</v>
      </c>
      <c r="E7" s="189">
        <f>Viability!X8</f>
        <v>7.8084947420903577</v>
      </c>
      <c r="F7" s="190">
        <f>Viability!Y8</f>
        <v>4</v>
      </c>
      <c r="G7" s="191">
        <f>Viability!W8</f>
        <v>36.192699249999997</v>
      </c>
      <c r="H7" s="189">
        <f>STDEV(Viability!I30:I37)</f>
        <v>9.7747100933514979</v>
      </c>
      <c r="I7" s="190">
        <v>8</v>
      </c>
      <c r="J7" s="252">
        <f>AVERAGE('Biochem Summary'!G50:G69)</f>
        <v>74.207554863300956</v>
      </c>
      <c r="K7" s="253">
        <f>STDEV('Biochem Summary'!G50:G69)</f>
        <v>3.7837349549461434</v>
      </c>
      <c r="L7" s="254">
        <f>COUNT('Biochem Summary'!G50:G69)</f>
        <v>16</v>
      </c>
      <c r="M7" s="252">
        <f>AVERAGE('Biochem Summary'!H50:H64)</f>
        <v>2.174074074074074</v>
      </c>
      <c r="N7" s="253">
        <f>STDEV('Biochem Summary'!H50:H64)</f>
        <v>0.377261811773695</v>
      </c>
      <c r="O7" s="254">
        <f>COUNT('Biochem Summary'!H50:H64)</f>
        <v>6</v>
      </c>
      <c r="P7" s="252">
        <f>AVERAGE('Biochem Summary'!I50:I69)</f>
        <v>38.27341382211538</v>
      </c>
      <c r="Q7" s="253">
        <f>STDEV('Biochem Summary'!I50:I69)</f>
        <v>16.84930827621525</v>
      </c>
      <c r="R7" s="254">
        <f>COUNT('Biochem Summary'!I50:I69)</f>
        <v>16</v>
      </c>
      <c r="S7" s="252">
        <f>AVERAGE('Biochem Summary'!J50:J69)</f>
        <v>69.886855330980808</v>
      </c>
      <c r="T7" s="253">
        <f>STDEV('Biochem Summary'!J50:J69)</f>
        <v>31.709133253469425</v>
      </c>
      <c r="U7" s="254">
        <f>COUNT('Biochem Summary'!J50:J69)</f>
        <v>16</v>
      </c>
      <c r="V7" s="252">
        <f>AVERAGE('Biochem Summary'!K50:K69)</f>
        <v>215.34985624999996</v>
      </c>
      <c r="W7" s="253">
        <f>STDEV('Biochem Summary'!K50:K69)</f>
        <v>53.39847485990547</v>
      </c>
      <c r="X7" s="254">
        <f>COUNT('Biochem Summary'!K50:K69)</f>
        <v>16</v>
      </c>
      <c r="Y7" s="252">
        <f>AVERAGE('Biochem Summary'!L50:L69)</f>
        <v>6739.4888517044337</v>
      </c>
      <c r="Z7" s="253">
        <f>STDEV('Biochem Summary'!L50:L69)</f>
        <v>3378.0738588243248</v>
      </c>
      <c r="AA7" s="254">
        <f>COUNT('Biochem Summary'!L50:L69)</f>
        <v>16</v>
      </c>
      <c r="AB7" s="252">
        <f>AVERAGE('Biochem Summary'!M50:M69)</f>
        <v>388.77583005122386</v>
      </c>
      <c r="AC7" s="253">
        <f>STDEV('Biochem Summary'!M50:M69)</f>
        <v>107.07935680755567</v>
      </c>
      <c r="AD7" s="254">
        <f>COUNT('Biochem Summary'!M50:M69)</f>
        <v>16</v>
      </c>
      <c r="AE7" s="252">
        <f>AVERAGE('Biochem Summary'!N50:N69)</f>
        <v>110.19983059317734</v>
      </c>
      <c r="AF7" s="253">
        <f>STDEV('Biochem Summary'!N50:N69)</f>
        <v>24.379957664217098</v>
      </c>
      <c r="AG7" s="292">
        <f>COUNT('Biochem Summary'!N50:N69)</f>
        <v>16</v>
      </c>
      <c r="AH7" s="252">
        <f>AVERAGE('Biochem Summary'!O50:O69)</f>
        <v>3352.36536252326</v>
      </c>
      <c r="AI7" s="253">
        <f>STDEV('Biochem Summary'!O50:O69)</f>
        <v>1605.6676396065116</v>
      </c>
      <c r="AJ7" s="292">
        <f>COUNT('Biochem Summary'!O50:O69)</f>
        <v>16</v>
      </c>
      <c r="AK7" s="252">
        <f>AVERAGE('Biochem Summary'!P50:P69)</f>
        <v>197.32093291348633</v>
      </c>
      <c r="AL7" s="253">
        <f>STDEV('Biochem Summary'!P50:P69)</f>
        <v>38.368555991805771</v>
      </c>
      <c r="AM7" s="292">
        <f>COUNT('Biochem Summary'!P50:P69)</f>
        <v>16</v>
      </c>
      <c r="AN7" s="370">
        <f>AVERAGE('Biochem Summary'!Q50:Q69)</f>
        <v>3.0050142716708562E-3</v>
      </c>
      <c r="AO7" s="371">
        <f>STDEV('Biochem Summary'!Q50:Q69)</f>
        <v>2.6962715958585106E-3</v>
      </c>
      <c r="AP7" s="292">
        <f>COUNT('Biochem Summary'!Q50:Q69)</f>
        <v>6</v>
      </c>
      <c r="AQ7" s="444">
        <f>AVERAGE('Biochem Summary'!R50:R69)</f>
        <v>1.0328203544808462E-4</v>
      </c>
      <c r="AR7" s="371">
        <f>STDEV('Biochem Summary'!R50:R69)</f>
        <v>7.7688099390042981E-5</v>
      </c>
      <c r="AS7" s="292">
        <f>COUNT('Biochem Summary'!R50:R69)</f>
        <v>6</v>
      </c>
      <c r="AT7" s="354">
        <f>AVERAGE('Biochem Summary'!S50:S69)</f>
        <v>5.408930236783095E-3</v>
      </c>
      <c r="AU7" s="371">
        <f>STDEV('Biochem Summary'!S50:S69)</f>
        <v>5.0709025900001706E-3</v>
      </c>
      <c r="AV7" s="292">
        <f>COUNT('Biochem Summary'!S50:S69)</f>
        <v>6</v>
      </c>
      <c r="AW7" s="252">
        <f>AVERAGE('Biochem Summary'!T50:T69)</f>
        <v>1.2355229058559669</v>
      </c>
      <c r="AX7" s="253">
        <f>STDEV('Biochem Summary'!T50:T69)</f>
        <v>1.6320563230859721</v>
      </c>
      <c r="AY7" s="292">
        <f>COUNT('Biochem Summary'!T50:T69)</f>
        <v>6</v>
      </c>
      <c r="AZ7" s="252">
        <f>AVERAGE('Biochem Summary'!U50:U69)</f>
        <v>3.8378991766614627E-2</v>
      </c>
      <c r="BA7" s="371">
        <f>STDEV('Biochem Summary'!U50:U69)</f>
        <v>4.97602261638126E-2</v>
      </c>
      <c r="BB7" s="292">
        <f>COUNT('Biochem Summary'!U50:U69)</f>
        <v>6</v>
      </c>
      <c r="BC7" s="252">
        <f>AVERAGE('Biochem Summary'!V50:V69)</f>
        <v>2.2444139521956017</v>
      </c>
      <c r="BD7" s="253">
        <f>STDEV('Biochem Summary'!V50:V69)</f>
        <v>2.9943069328920666</v>
      </c>
      <c r="BE7" s="292">
        <f>COUNT('Biochem Summary'!V50:V69)</f>
        <v>6</v>
      </c>
      <c r="BF7" s="360">
        <f>AVERAGE('Biochem Summary'!W50:W69)</f>
        <v>2.3523311260205699E-2</v>
      </c>
      <c r="BG7" s="361">
        <f>STDEV('Biochem Summary'!W50:W69)</f>
        <v>7.5430428619591133E-3</v>
      </c>
      <c r="BH7" s="292">
        <f>COUNT('Biochem Summary'!W50:W69)</f>
        <v>4</v>
      </c>
      <c r="BI7" s="360">
        <f>AVERAGE('Biochem Summary'!X50:X69)</f>
        <v>8.1279113261023518E-4</v>
      </c>
      <c r="BJ7" s="361">
        <f>STDEV('Biochem Summary'!X50:X69)</f>
        <v>1.3182880834298924E-4</v>
      </c>
      <c r="BK7" s="292">
        <f>COUNT('Biochem Summary'!X50:X69)</f>
        <v>4</v>
      </c>
      <c r="BL7" s="354">
        <f>AVERAGE('Biochem Summary'!Y50:Y69)</f>
        <v>4.5634446646932766E-2</v>
      </c>
      <c r="BM7" s="349">
        <f>STDEV('Biochem Summary'!Y50:Y69)</f>
        <v>1.9787543404103537E-2</v>
      </c>
      <c r="BN7" s="254">
        <f>COUNT('Biochem Summary'!Y50:Y69)</f>
        <v>4</v>
      </c>
      <c r="BO7" s="252">
        <f>AVERAGE('H&amp;E'!L16:L17)</f>
        <v>2657</v>
      </c>
      <c r="BP7" s="253">
        <f>STDEV('H&amp;E'!L16:L17)</f>
        <v>264.45793616376875</v>
      </c>
      <c r="BQ7" s="254">
        <f>COUNT('H&amp;E'!L16:L17)</f>
        <v>2</v>
      </c>
      <c r="BR7" s="578">
        <f>AVERAGE('H&amp;E'!M16:M20)</f>
        <v>2.8784000000000001E-3</v>
      </c>
      <c r="BS7" s="579">
        <f>STDEV('H&amp;E'!M16:M20)</f>
        <v>7.0876604038286155E-4</v>
      </c>
      <c r="BT7" s="254">
        <f>COUNT('H&amp;E'!M16:M20)</f>
        <v>5</v>
      </c>
      <c r="BU7" s="360">
        <f>AVERAGE('H&amp;E'!N16:N20)</f>
        <v>3.7760444182909887</v>
      </c>
      <c r="BV7" s="361">
        <f>STDEV('H&amp;E'!N16:N20)</f>
        <v>0.26473069482656614</v>
      </c>
      <c r="BW7" s="292">
        <f>COUNT('H&amp;E'!N16:N20)</f>
        <v>5</v>
      </c>
      <c r="BX7" s="81">
        <f>AVERAGE(SHG!X17:X18)</f>
        <v>1.8241354980468749</v>
      </c>
      <c r="BY7" s="6">
        <f>STDEV(SHG!X17:X18)</f>
        <v>5.2578061794389674E-2</v>
      </c>
      <c r="BZ7" s="7">
        <v>2</v>
      </c>
      <c r="CA7" s="81">
        <f>AVERAGE(SHG!Y17:Y18)</f>
        <v>30.417449435763892</v>
      </c>
      <c r="CB7" s="6">
        <f>STDEV(SHG!Y17:Y18)</f>
        <v>2.4649499938014956</v>
      </c>
      <c r="CC7" s="7">
        <v>2</v>
      </c>
      <c r="CD7" s="81">
        <f>AVERAGE(SHG!Z17:Z18)</f>
        <v>0.93444444444444441</v>
      </c>
      <c r="CE7" s="6">
        <f>STDEV(SHG!Z17:Z18)</f>
        <v>3.1426968052734863E-3</v>
      </c>
      <c r="CF7" s="7">
        <v>2</v>
      </c>
      <c r="CG7" s="6">
        <f>AVERAGE(SHG!AA17:AA18)</f>
        <v>96.134722222222223</v>
      </c>
      <c r="CH7" s="6">
        <f>STDEV(SHG!AA17:AA18)</f>
        <v>6.4877047173865812</v>
      </c>
      <c r="CI7" s="7">
        <v>2</v>
      </c>
      <c r="CJ7" s="6">
        <f>AVERAGE(SHG!AB17:AB18)</f>
        <v>0.98083333333333322</v>
      </c>
      <c r="CK7" s="6">
        <f>STDEV(SHG!AB17:AB18)</f>
        <v>5.8925565098879541E-3</v>
      </c>
      <c r="CL7" s="7">
        <v>2</v>
      </c>
      <c r="CM7" s="6">
        <f>AVERAGE(TolBlue!F12:F16)</f>
        <v>5.6488977677390327E-2</v>
      </c>
      <c r="CN7" s="6">
        <f>STDEV(TolBlue!F12:F16)</f>
        <v>1.7731387711705238E-2</v>
      </c>
      <c r="CO7" s="7">
        <f>COUNT(TolBlue!F12:F16)</f>
        <v>4</v>
      </c>
      <c r="CP7" s="6">
        <f>AVERAGE('Biochem Summary'!Z50:Z65)</f>
        <v>3.9710733814221166</v>
      </c>
      <c r="CQ7" s="6">
        <f>STDEV('Biochem Summary'!Z50:Z65)</f>
        <v>0.69570078677042468</v>
      </c>
      <c r="CR7" s="7">
        <f>COUNT('Biochem Summary'!Z50:Z65)</f>
        <v>16</v>
      </c>
      <c r="CS7" s="6">
        <f>AVERAGE(Mechanics!H42:H49)</f>
        <v>25.627485714285715</v>
      </c>
      <c r="CT7" s="6">
        <f>STDEV(Mechanics!H42:H49)</f>
        <v>8.9395257283647478</v>
      </c>
      <c r="CU7" s="7">
        <f>COUNT(Mechanics!H42:H49)</f>
        <v>7</v>
      </c>
      <c r="CV7" s="6">
        <f>AVERAGE(Mechanics!I42:I49)</f>
        <v>112.6185625</v>
      </c>
      <c r="CW7" s="6">
        <f>STDEV(Mechanics!I42:I49)</f>
        <v>55.993014300865802</v>
      </c>
      <c r="CX7" s="7">
        <f>COUNT(Mechanics!I42:I49)</f>
        <v>8</v>
      </c>
      <c r="CY7" s="6">
        <f>AVERAGE(Mechanics!J42:J49)</f>
        <v>4.5245500000000005</v>
      </c>
      <c r="CZ7" s="6">
        <f>STDEV(Mechanics!J42:J49)</f>
        <v>1.4263976063596575</v>
      </c>
      <c r="DA7" s="7">
        <f>COUNT(Mechanics!J42:J49)</f>
        <v>8</v>
      </c>
      <c r="DB7" s="6">
        <f>AVERAGE(Mechanics!K42:K49)</f>
        <v>12.725937499999999</v>
      </c>
      <c r="DC7" s="6">
        <f>STDEV(Mechanics!K42:K49)</f>
        <v>5.8537291313041271</v>
      </c>
      <c r="DD7" s="7">
        <f>COUNT(Mechanics!K42:K49)</f>
        <v>8</v>
      </c>
      <c r="DE7" s="6">
        <f>AVERAGE(Mechanics!L42:L49)</f>
        <v>0.170075</v>
      </c>
      <c r="DF7" s="6">
        <f>STDEV(Mechanics!L42:L49)</f>
        <v>8.5841194739389032E-2</v>
      </c>
      <c r="DG7" s="7">
        <f>COUNT(Mechanics!L42:L49)</f>
        <v>8</v>
      </c>
    </row>
    <row r="8" spans="1:111" x14ac:dyDescent="0.25">
      <c r="B8" s="644" t="s">
        <v>93</v>
      </c>
      <c r="C8" s="171" t="s">
        <v>26</v>
      </c>
      <c r="D8" s="175">
        <f>Viability!S11</f>
        <v>38.288229596249998</v>
      </c>
      <c r="E8" s="177">
        <f>Viability!AA5</f>
        <v>12.790351102883635</v>
      </c>
      <c r="F8" s="176">
        <f>Viability!AB5</f>
        <v>4</v>
      </c>
      <c r="G8" s="175">
        <f>Viability!Z5</f>
        <v>38.288229596249998</v>
      </c>
      <c r="H8" s="177">
        <f>STDEV(Viability!S3:S10)</f>
        <v>15.324828874525197</v>
      </c>
      <c r="I8" s="176">
        <v>8</v>
      </c>
      <c r="J8" s="183">
        <f>AVERAGE('Biochem Summary'!G70:G75)</f>
        <v>72.648589671948159</v>
      </c>
      <c r="K8" s="184">
        <f>STDEV('Biochem Summary'!G70:G75)</f>
        <v>1.8878081202867452</v>
      </c>
      <c r="L8" s="185">
        <f>COUNT('Biochem Summary'!G70:G75)</f>
        <v>6</v>
      </c>
      <c r="M8" s="175">
        <f>AVERAGE('Biochem Summary'!H7:H14)</f>
        <v>1.1545075295075296</v>
      </c>
      <c r="N8" s="177">
        <f>STDEV('Biochem Summary'!H7:H14)</f>
        <v>0.21537649019461202</v>
      </c>
      <c r="O8" s="178">
        <f>COUNT('Biochem Summary'!H7:H14)</f>
        <v>8</v>
      </c>
      <c r="P8" s="183">
        <f>AVERAGE('Biochem Summary'!I70:I75)</f>
        <v>77.302838333333327</v>
      </c>
      <c r="Q8" s="184">
        <f>STDEV('Biochem Summary'!I70:I75)</f>
        <v>14.771449256073359</v>
      </c>
      <c r="R8" s="185">
        <f>COUNT('Biochem Summary'!I70:I75)</f>
        <v>6</v>
      </c>
      <c r="S8" s="175">
        <f>AVERAGE('Biochem Summary'!J7:J14)</f>
        <v>154.68956896584172</v>
      </c>
      <c r="T8" s="177">
        <f>STDEV('Biochem Summary'!J7:J14)</f>
        <v>41.809466593723144</v>
      </c>
      <c r="U8" s="178">
        <f>COUNT('Biochem Summary'!J7:J14)</f>
        <v>7</v>
      </c>
      <c r="V8" s="183">
        <f>AVERAGE('Biochem Summary'!K70:K75)</f>
        <v>231.0139999999999</v>
      </c>
      <c r="W8" s="184">
        <f>STDEV('Biochem Summary'!K70:K75)</f>
        <v>30.818236954764085</v>
      </c>
      <c r="X8" s="185">
        <f>COUNT('Biochem Summary'!K70:K75)</f>
        <v>6</v>
      </c>
      <c r="Y8" s="183">
        <f>AVERAGE('Biochem Summary'!L70:L75)</f>
        <v>3042.0877748243925</v>
      </c>
      <c r="Z8" s="184">
        <f>STDEV('Biochem Summary'!L70:L75)</f>
        <v>515.39004410711118</v>
      </c>
      <c r="AA8" s="185">
        <f>COUNT('Biochem Summary'!L70:L75)</f>
        <v>6</v>
      </c>
      <c r="AB8" s="183">
        <f>AVERAGE('Biochem Summary'!M70:M75)</f>
        <v>435.63999229615433</v>
      </c>
      <c r="AC8" s="184">
        <f>STDEV('Biochem Summary'!M70:M75)</f>
        <v>65.645768062515728</v>
      </c>
      <c r="AD8" s="185">
        <f>COUNT('Biochem Summary'!M70:M75)</f>
        <v>6</v>
      </c>
      <c r="AE8" s="183">
        <f>AVERAGE('Biochem Summary'!N70:N75)</f>
        <v>96.18330745919836</v>
      </c>
      <c r="AF8" s="184">
        <f>STDEV('Biochem Summary'!N70:N75)</f>
        <v>10.014132044815028</v>
      </c>
      <c r="AG8" s="291">
        <f>COUNT('Biochem Summary'!N70:N75)</f>
        <v>6</v>
      </c>
      <c r="AH8" s="183">
        <f>AVERAGE('Biochem Summary'!O70:O75)</f>
        <v>1272.8482325308039</v>
      </c>
      <c r="AI8" s="184">
        <f>STDEV('Biochem Summary'!O70:O75)</f>
        <v>230.63509299265161</v>
      </c>
      <c r="AJ8" s="291">
        <f>COUNT('Biochem Summary'!O70:O75)</f>
        <v>6</v>
      </c>
      <c r="AK8" s="183">
        <f>AVERAGE('Biochem Summary'!P70:P75)</f>
        <v>180.42606973756256</v>
      </c>
      <c r="AL8" s="184">
        <f>STDEV('Biochem Summary'!P70:P75)</f>
        <v>12.322200534085061</v>
      </c>
      <c r="AM8" s="291">
        <f>COUNT('Biochem Summary'!P70:P75)</f>
        <v>6</v>
      </c>
      <c r="AN8" s="372"/>
      <c r="AO8" s="373"/>
      <c r="AP8" s="304"/>
      <c r="AQ8" s="372"/>
      <c r="AR8" s="373"/>
      <c r="AS8" s="304"/>
      <c r="AT8" s="372"/>
      <c r="AU8" s="373"/>
      <c r="AV8" s="304"/>
      <c r="AW8" s="302"/>
      <c r="AX8" s="303"/>
      <c r="AY8" s="304"/>
      <c r="AZ8" s="372"/>
      <c r="BA8" s="373"/>
      <c r="BB8" s="304"/>
      <c r="BC8" s="302"/>
      <c r="BD8" s="303"/>
      <c r="BE8" s="304"/>
      <c r="BF8" s="362"/>
      <c r="BG8" s="363"/>
      <c r="BH8" s="304"/>
      <c r="BI8" s="362"/>
      <c r="BJ8" s="363"/>
      <c r="BK8" s="304"/>
      <c r="BL8" s="355"/>
      <c r="BM8" s="350"/>
      <c r="BN8" s="306"/>
      <c r="BO8" s="183">
        <f>AVERAGE('H&amp;E'!L21:L22)</f>
        <v>1913.5</v>
      </c>
      <c r="BP8" s="184">
        <f>STDEV('H&amp;E'!L21:L22)</f>
        <v>603.16208435212502</v>
      </c>
      <c r="BQ8" s="185">
        <f>COUNT('H&amp;E'!L21:L22)</f>
        <v>2</v>
      </c>
      <c r="BR8" s="576">
        <f>AVERAGE('H&amp;E'!M21:M25)</f>
        <v>2.7680000000000001E-3</v>
      </c>
      <c r="BS8" s="577">
        <f>STDEV('H&amp;E'!M21:M25)</f>
        <v>3.1415521641379768E-4</v>
      </c>
      <c r="BT8" s="185">
        <f>COUNT('H&amp;E'!M21:M25)</f>
        <v>5</v>
      </c>
      <c r="BU8" s="358">
        <f>AVERAGE('H&amp;E'!N21:N25)</f>
        <v>4.0744118781069227</v>
      </c>
      <c r="BV8" s="359">
        <f>STDEV('H&amp;E'!N21:N25)</f>
        <v>0.73461320115031892</v>
      </c>
      <c r="BW8" s="291">
        <f>COUNT('H&amp;E'!N21:N25)</f>
        <v>5</v>
      </c>
      <c r="BX8" s="259">
        <f>AVERAGE(SHG!X19:X21)</f>
        <v>1.8583288773148148</v>
      </c>
      <c r="BY8" s="210">
        <f>STDEV(SHG!X19:X21)</f>
        <v>0.1024208656681594</v>
      </c>
      <c r="BZ8" s="211">
        <v>3</v>
      </c>
      <c r="CA8" s="259">
        <f>AVERAGE(SHG!Y19:Y21)</f>
        <v>25.841026743344909</v>
      </c>
      <c r="CB8" s="210">
        <f>STDEV(SHG!Y19:Y21)</f>
        <v>4.1730647342218541</v>
      </c>
      <c r="CC8" s="211">
        <v>3</v>
      </c>
      <c r="CD8" s="259">
        <f>AVERAGE(SHG!Z19:Z21)</f>
        <v>0.92800000000000005</v>
      </c>
      <c r="CE8" s="210">
        <f>STDEV(SHG!Z19:Z21)</f>
        <v>7.2111025509280467E-3</v>
      </c>
      <c r="CF8" s="211">
        <v>3</v>
      </c>
      <c r="CG8" s="210">
        <f>AVERAGE(SHG!AA19:AA21)</f>
        <v>90.325555555555567</v>
      </c>
      <c r="CH8" s="210">
        <f>STDEV(SHG!AA19:AA21)</f>
        <v>3.0358530438253637</v>
      </c>
      <c r="CI8" s="211">
        <v>3</v>
      </c>
      <c r="CJ8" s="210">
        <f>AVERAGE(SHG!AB19:AB21)</f>
        <v>0.97250000000000003</v>
      </c>
      <c r="CK8" s="210">
        <f>STDEV(SHG!AB19:AB21)</f>
        <v>9.1666666666666008E-3</v>
      </c>
      <c r="CL8" s="211">
        <v>3</v>
      </c>
      <c r="CM8" s="210">
        <f>AVERAGE(TolBlue!F28:F33)</f>
        <v>0.13535718331767865</v>
      </c>
      <c r="CN8" s="210">
        <f>STDEV(TolBlue!F28:F33)</f>
        <v>9.8523780651307458E-2</v>
      </c>
      <c r="CO8" s="211">
        <f>COUNT(TolBlue!F28:F33)</f>
        <v>6</v>
      </c>
      <c r="CP8" s="210">
        <f>AVERAGE('Biochem Summary'!Z70:Z75)</f>
        <v>3.6716051997407555</v>
      </c>
      <c r="CQ8" s="210">
        <f>STDEV('Biochem Summary'!Z70:Z75)</f>
        <v>0.2698655038887855</v>
      </c>
      <c r="CR8" s="211">
        <f>COUNT('Biochem Summary'!Z70:Z75)</f>
        <v>6</v>
      </c>
      <c r="CS8" s="210">
        <f>AVERAGE(Mechanics!H34:H41)</f>
        <v>27.985600000000002</v>
      </c>
      <c r="CT8" s="210">
        <f>STDEV(Mechanics!H34:H41)</f>
        <v>7.0916018412123023</v>
      </c>
      <c r="CU8" s="211">
        <f>COUNT(Mechanics!H34:H41)</f>
        <v>8</v>
      </c>
      <c r="CV8" s="210">
        <f>AVERAGE(Mechanics!I34:I41)</f>
        <v>56.469774999999998</v>
      </c>
      <c r="CW8" s="210">
        <f>STDEV(Mechanics!I34:I41)</f>
        <v>22.194648087626241</v>
      </c>
      <c r="CX8" s="211">
        <f>COUNT(Mechanics!I34:I41)</f>
        <v>8</v>
      </c>
      <c r="CY8" s="210">
        <f>AVERAGE(Mechanics!J34:J41)</f>
        <v>3.4440625000000002</v>
      </c>
      <c r="CZ8" s="210">
        <f>STDEV(Mechanics!J34:J41)</f>
        <v>1.3499896655027712</v>
      </c>
      <c r="DA8" s="211">
        <f>COUNT(Mechanics!J34:J41)</f>
        <v>8</v>
      </c>
      <c r="DB8" s="210">
        <f>AVERAGE(Mechanics!K34:K41)</f>
        <v>6.1856500000000008</v>
      </c>
      <c r="DC8" s="210">
        <f>STDEV(Mechanics!K34:K41)</f>
        <v>1.5778286417913494</v>
      </c>
      <c r="DD8" s="211">
        <f>COUNT(Mechanics!K34:K41)</f>
        <v>8</v>
      </c>
      <c r="DE8" s="210">
        <f>AVERAGE(Mechanics!L34:L41)</f>
        <v>0.17321250000000002</v>
      </c>
      <c r="DF8" s="210">
        <f>STDEV(Mechanics!L34:L41)</f>
        <v>4.4243722314987383E-2</v>
      </c>
      <c r="DG8" s="211">
        <f>COUNT(Mechanics!L34:L41)</f>
        <v>8</v>
      </c>
    </row>
    <row r="9" spans="1:111" x14ac:dyDescent="0.25">
      <c r="B9" s="645"/>
      <c r="C9" s="179" t="s">
        <v>11</v>
      </c>
      <c r="D9" s="193">
        <f>Viability!S20</f>
        <v>31.741872250000004</v>
      </c>
      <c r="E9" s="181">
        <f>Viability!AA6</f>
        <v>2.6081264969261775</v>
      </c>
      <c r="F9" s="194">
        <f>Viability!AB6</f>
        <v>4</v>
      </c>
      <c r="G9" s="180">
        <f>Viability!Z6</f>
        <v>31.741872250000004</v>
      </c>
      <c r="H9" s="181">
        <f>STDEV(Viability!S12:S19)</f>
        <v>5.0305824426396368</v>
      </c>
      <c r="I9" s="194">
        <v>8</v>
      </c>
      <c r="J9" s="180">
        <f>AVERAGE('Biochem Summary'!G76:G91)</f>
        <v>73.94822229183211</v>
      </c>
      <c r="K9" s="181">
        <f>STDEV('Biochem Summary'!G76:G91)</f>
        <v>3.2172179200551105</v>
      </c>
      <c r="L9" s="182">
        <f>COUNT('Biochem Summary'!G76:G91)</f>
        <v>16</v>
      </c>
      <c r="M9" s="180">
        <f>AVERAGE('Biochem Summary'!H76:H91)</f>
        <v>1.3432098765432097</v>
      </c>
      <c r="N9" s="181">
        <f>STDEV('Biochem Summary'!H76:H91)</f>
        <v>6.4178534701371762E-2</v>
      </c>
      <c r="O9" s="182">
        <f>COUNT('Biochem Summary'!H76:H91)</f>
        <v>6</v>
      </c>
      <c r="P9" s="180">
        <f>AVERAGE('Biochem Summary'!I76:I91)</f>
        <v>61.16012107142857</v>
      </c>
      <c r="Q9" s="181">
        <f>STDEV('Biochem Summary'!I76:I91)</f>
        <v>8.3173302174325165</v>
      </c>
      <c r="R9" s="182">
        <f>COUNT('Biochem Summary'!I76:I91)</f>
        <v>16</v>
      </c>
      <c r="S9" s="180">
        <f>AVERAGE('Biochem Summary'!J76:J91)</f>
        <v>119.46441332817365</v>
      </c>
      <c r="T9" s="181">
        <f>STDEV('Biochem Summary'!J76:J91)</f>
        <v>16.947486310140569</v>
      </c>
      <c r="U9" s="182">
        <f>COUNT('Biochem Summary'!J76:J91)</f>
        <v>16</v>
      </c>
      <c r="V9" s="180">
        <f>AVERAGE('Biochem Summary'!K76:K91)</f>
        <v>222.00362499999994</v>
      </c>
      <c r="W9" s="181">
        <f>STDEV('Biochem Summary'!K76:K91)</f>
        <v>25.940440384658402</v>
      </c>
      <c r="X9" s="182">
        <f>COUNT('Biochem Summary'!K76:K91)</f>
        <v>16</v>
      </c>
      <c r="Y9" s="180">
        <f>AVERAGE('Biochem Summary'!L76:L91)</f>
        <v>3678.1452488859859</v>
      </c>
      <c r="Z9" s="181">
        <f>STDEV('Biochem Summary'!L76:L91)</f>
        <v>550.74915359814315</v>
      </c>
      <c r="AA9" s="182">
        <f>COUNT('Biochem Summary'!L76:L91)</f>
        <v>16</v>
      </c>
      <c r="AB9" s="180">
        <f>AVERAGE('Biochem Summary'!M76:M91)</f>
        <v>432.60944998215865</v>
      </c>
      <c r="AC9" s="181">
        <f>STDEV('Biochem Summary'!M76:M91)</f>
        <v>43.333091637509582</v>
      </c>
      <c r="AD9" s="182">
        <f>COUNT('Biochem Summary'!M76:M91)</f>
        <v>16</v>
      </c>
      <c r="AE9" s="180">
        <f>AVERAGE('Biochem Summary'!N76:N91)</f>
        <v>114.25461716926313</v>
      </c>
      <c r="AF9" s="181">
        <f>STDEV('Biochem Summary'!N76:N91)</f>
        <v>19.512625528945577</v>
      </c>
      <c r="AG9" s="293">
        <f>COUNT('Biochem Summary'!N76:N91)</f>
        <v>16</v>
      </c>
      <c r="AH9" s="180">
        <f>AVERAGE('Biochem Summary'!O76:O91)</f>
        <v>1890.9366198778685</v>
      </c>
      <c r="AI9" s="181">
        <f>STDEV('Biochem Summary'!O76:O91)</f>
        <v>363.47992849106726</v>
      </c>
      <c r="AJ9" s="293">
        <f>COUNT('Biochem Summary'!O76:O91)</f>
        <v>16</v>
      </c>
      <c r="AK9" s="180">
        <f>AVERAGE('Biochem Summary'!P76:P91)</f>
        <v>221.22995469571998</v>
      </c>
      <c r="AL9" s="181">
        <f>STDEV('Biochem Summary'!P76:P91)</f>
        <v>21.563350469986883</v>
      </c>
      <c r="AM9" s="293">
        <f>COUNT('Biochem Summary'!P76:P91)</f>
        <v>16</v>
      </c>
      <c r="AN9" s="374">
        <f>AVERAGE('Biochem Summary'!Q76:Q91)</f>
        <v>6.5608647044658485E-4</v>
      </c>
      <c r="AO9" s="346">
        <f>STDEV('Biochem Summary'!Q76:Q91)</f>
        <v>1.7872160559875494E-4</v>
      </c>
      <c r="AP9" s="293">
        <f>COUNT('Biochem Summary'!Q76:Q91)</f>
        <v>5</v>
      </c>
      <c r="AQ9" s="374">
        <f>AVERAGE('Biochem Summary'!R76:R91)</f>
        <v>1.1084705714244227E-5</v>
      </c>
      <c r="AR9" s="346">
        <f>STDEV('Biochem Summary'!R76:R91)</f>
        <v>2.9974124714515108E-6</v>
      </c>
      <c r="AS9" s="293">
        <f>COUNT('Biochem Summary'!R76:R91)</f>
        <v>5</v>
      </c>
      <c r="AT9" s="374">
        <f>AVERAGE('Biochem Summary'!S76:S91)</f>
        <v>1.3370898451656346E-3</v>
      </c>
      <c r="AU9" s="346">
        <f>STDEV('Biochem Summary'!S76:S91)</f>
        <v>3.7143870081921866E-4</v>
      </c>
      <c r="AV9" s="293">
        <f>COUNT('Biochem Summary'!S76:S91)</f>
        <v>5</v>
      </c>
      <c r="AW9" s="180">
        <f>AVERAGE('Biochem Summary'!T76:T91)</f>
        <v>1.1631198442984796</v>
      </c>
      <c r="AX9" s="181">
        <f>STDEV('Biochem Summary'!T76:T91)</f>
        <v>0.24262787370126587</v>
      </c>
      <c r="AY9" s="293">
        <f>COUNT('Biochem Summary'!T76:T91)</f>
        <v>5</v>
      </c>
      <c r="AZ9" s="374">
        <f>AVERAGE('Biochem Summary'!U76:U91)</f>
        <v>1.9483029415810774E-2</v>
      </c>
      <c r="BA9" s="346">
        <f>STDEV('Biochem Summary'!U76:U91)</f>
        <v>2.8803565450643952E-3</v>
      </c>
      <c r="BB9" s="293">
        <f>COUNT('Biochem Summary'!U76:U91)</f>
        <v>5</v>
      </c>
      <c r="BC9" s="180">
        <f>AVERAGE('Biochem Summary'!V76:V91)</f>
        <v>2.3635957438811004</v>
      </c>
      <c r="BD9" s="181">
        <f>STDEV('Biochem Summary'!V76:V91)</f>
        <v>0.48243172591574324</v>
      </c>
      <c r="BE9" s="293">
        <f>COUNT('Biochem Summary'!V76:V91)</f>
        <v>5</v>
      </c>
      <c r="BF9" s="364">
        <f>AVERAGE('Biochem Summary'!W76:W91)</f>
        <v>2.619540269045333E-3</v>
      </c>
      <c r="BG9" s="365">
        <f>STDEV('Biochem Summary'!W76:W91)</f>
        <v>6.537155970665605E-4</v>
      </c>
      <c r="BH9" s="346">
        <f>COUNT('Biochem Summary'!W76:W91)</f>
        <v>5</v>
      </c>
      <c r="BI9" s="364">
        <f>AVERAGE('Biochem Summary'!X76:X91)</f>
        <v>4.3752167498926212E-5</v>
      </c>
      <c r="BJ9" s="365">
        <f>STDEV('Biochem Summary'!X76:X91)</f>
        <v>1.2384262872379375E-5</v>
      </c>
      <c r="BK9" s="293">
        <f>COUNT('Biochem Summary'!X76:X91)</f>
        <v>5</v>
      </c>
      <c r="BL9" s="356">
        <f>AVERAGE('Biochem Summary'!Y76:Y91)</f>
        <v>5.2279519425693123E-3</v>
      </c>
      <c r="BM9" s="351">
        <f>STDEV('Biochem Summary'!Y76:Y91)</f>
        <v>1.3645066661258742E-3</v>
      </c>
      <c r="BN9" s="182">
        <f>COUNT('Biochem Summary'!Y76:Y91)</f>
        <v>5</v>
      </c>
      <c r="BO9" s="180">
        <f>AVERAGE('H&amp;E'!L26:L28)</f>
        <v>2235.9555556666669</v>
      </c>
      <c r="BP9" s="181">
        <f>STDEV('H&amp;E'!L26:L28)</f>
        <v>444.15442798478949</v>
      </c>
      <c r="BQ9" s="182">
        <v>3</v>
      </c>
      <c r="BR9" s="580">
        <f>AVERAGE('H&amp;E'!M26:M28)</f>
        <v>2.7929999999999999E-3</v>
      </c>
      <c r="BS9" s="581">
        <f>STDEV('H&amp;E'!M26:M28)</f>
        <v>1.311449579663662E-4</v>
      </c>
      <c r="BT9" s="182">
        <v>3</v>
      </c>
      <c r="BU9" s="364">
        <f>AVERAGE('H&amp;E'!N26:N28)</f>
        <v>4.481606666666667</v>
      </c>
      <c r="BV9" s="365">
        <f>STDEV('H&amp;E'!N26:N28)</f>
        <v>0.45206609567333583</v>
      </c>
      <c r="BW9" s="293">
        <v>3</v>
      </c>
      <c r="BX9" s="257">
        <f>AVERAGE(SHG!X22:X24)</f>
        <v>1.8862592447916666</v>
      </c>
      <c r="BY9" s="162">
        <f>STDEV(SHG!X22:X24)</f>
        <v>3.2782040253721334E-2</v>
      </c>
      <c r="BZ9" s="165">
        <v>3</v>
      </c>
      <c r="CA9" s="257">
        <f>AVERAGE(SHG!Y22:Y24)</f>
        <v>24.899389583333335</v>
      </c>
      <c r="CB9" s="162">
        <f>STDEV(SHG!Y22:Y24)</f>
        <v>5.4788360512769527</v>
      </c>
      <c r="CC9" s="165">
        <v>3</v>
      </c>
      <c r="CD9" s="257">
        <f>AVERAGE(SHG!Z22:Z24)</f>
        <v>0.92259259259259263</v>
      </c>
      <c r="CE9" s="162">
        <f>STDEV(SHG!Z22:Z24)</f>
        <v>7.7843887248088316E-3</v>
      </c>
      <c r="CF9" s="165">
        <v>3</v>
      </c>
      <c r="CG9" s="162">
        <f>AVERAGE(SHG!AA22:AA24)</f>
        <v>91.539259259259268</v>
      </c>
      <c r="CH9" s="162">
        <f>STDEV(SHG!AA22:AA24)</f>
        <v>2.0395564554528494</v>
      </c>
      <c r="CI9" s="165">
        <v>3</v>
      </c>
      <c r="CJ9" s="162">
        <f>AVERAGE(SHG!AB22:AB24)</f>
        <v>0.97796296296296292</v>
      </c>
      <c r="CK9" s="162">
        <f>STDEV(SHG!AB22:AB24)</f>
        <v>1.3521055063905075E-2</v>
      </c>
      <c r="CL9" s="165">
        <v>3</v>
      </c>
      <c r="CM9" s="162"/>
      <c r="CN9" s="162"/>
      <c r="CO9" s="165"/>
      <c r="CP9" s="162">
        <f>AVERAGE('Biochem Summary'!Z76:Z91)</f>
        <v>3.9072863299787612</v>
      </c>
      <c r="CQ9" s="162">
        <f>STDEV('Biochem Summary'!Z76:Z91)</f>
        <v>0.6082637971862761</v>
      </c>
      <c r="CR9" s="165">
        <f>COUNT('Biochem Summary'!Z76:Z91)</f>
        <v>16</v>
      </c>
      <c r="CS9" s="162"/>
      <c r="CT9" s="162"/>
      <c r="CU9" s="165"/>
      <c r="CV9" s="162"/>
      <c r="CW9" s="162"/>
      <c r="CX9" s="165"/>
      <c r="CY9" s="162"/>
      <c r="CZ9" s="162"/>
      <c r="DA9" s="165"/>
      <c r="DB9" s="162"/>
      <c r="DC9" s="162"/>
      <c r="DD9" s="165"/>
      <c r="DE9" s="162"/>
      <c r="DF9" s="162"/>
      <c r="DG9" s="165"/>
    </row>
    <row r="10" spans="1:111" x14ac:dyDescent="0.25">
      <c r="B10" s="645"/>
      <c r="C10" s="186" t="s">
        <v>12</v>
      </c>
      <c r="D10" s="180">
        <f>Viability!S28</f>
        <v>21.113805347400003</v>
      </c>
      <c r="E10" s="181">
        <f>Viability!AA7</f>
        <v>17.020700432943624</v>
      </c>
      <c r="F10" s="194">
        <f>Viability!AB7</f>
        <v>4</v>
      </c>
      <c r="G10" s="180">
        <f>AVERAGE(Viability!S21:'Viability'!S27)</f>
        <v>24.118286111314287</v>
      </c>
      <c r="H10" s="181">
        <f>STDEV(Viability!S21:S27)</f>
        <v>15.520242133774621</v>
      </c>
      <c r="I10" s="194">
        <v>7</v>
      </c>
      <c r="J10" s="180">
        <f>AVERAGE('Biochem Summary'!G92:G111)</f>
        <v>70.688261673948062</v>
      </c>
      <c r="K10" s="181">
        <f>STDEV('Biochem Summary'!G92:G111)</f>
        <v>2.0904807568898511</v>
      </c>
      <c r="L10" s="182">
        <f>COUNT('Biochem Summary'!G92:G111)</f>
        <v>20</v>
      </c>
      <c r="M10" s="180">
        <f>AVERAGE('Biochem Summary'!H92:H106)</f>
        <v>1.6372670807453418</v>
      </c>
      <c r="N10" s="181">
        <f>STDEV('Biochem Summary'!H92:H106)</f>
        <v>0.22781572346498744</v>
      </c>
      <c r="O10" s="182">
        <f>COUNT('Biochem Summary'!H92:H106)</f>
        <v>5</v>
      </c>
      <c r="P10" s="180">
        <f>AVERAGE('Biochem Summary'!I92:I111)</f>
        <v>26.14275662179487</v>
      </c>
      <c r="Q10" s="181">
        <f>STDEV('Biochem Summary'!I92:I111)</f>
        <v>9.7406346836827069</v>
      </c>
      <c r="R10" s="182">
        <f>COUNT('Biochem Summary'!I92:I111)</f>
        <v>20</v>
      </c>
      <c r="S10" s="180">
        <f>AVERAGE('Biochem Summary'!J92:J111)</f>
        <v>48.900404825732302</v>
      </c>
      <c r="T10" s="181">
        <f>STDEV('Biochem Summary'!J92:J111)</f>
        <v>20.98800860222503</v>
      </c>
      <c r="U10" s="182">
        <f>COUNT('Biochem Summary'!J92:J111)</f>
        <v>20</v>
      </c>
      <c r="V10" s="180">
        <f>AVERAGE('Biochem Summary'!K92:K111)</f>
        <v>233.34611052631581</v>
      </c>
      <c r="W10" s="181">
        <f>STDEV('Biochem Summary'!K92:K111)</f>
        <v>67.802241690406717</v>
      </c>
      <c r="X10" s="182">
        <f>COUNT('Biochem Summary'!K92:K111)</f>
        <v>19</v>
      </c>
      <c r="Y10" s="180">
        <f>AVERAGE('Biochem Summary'!L92:L111)</f>
        <v>10000.289679757108</v>
      </c>
      <c r="Z10" s="181">
        <f>STDEV('Biochem Summary'!L92:L111)</f>
        <v>3108.0581569718529</v>
      </c>
      <c r="AA10" s="182">
        <f>COUNT('Biochem Summary'!L92:L111)</f>
        <v>19</v>
      </c>
      <c r="AB10" s="180">
        <f>AVERAGE('Biochem Summary'!M92:M111)</f>
        <v>425.79465093467792</v>
      </c>
      <c r="AC10" s="181">
        <f>STDEV('Biochem Summary'!M92:M111)</f>
        <v>113.55307172624393</v>
      </c>
      <c r="AD10" s="182">
        <f>COUNT('Biochem Summary'!M92:M111)</f>
        <v>19</v>
      </c>
      <c r="AE10" s="180">
        <f>AVERAGE('Biochem Summary'!N92:N111)</f>
        <v>99.147601323753037</v>
      </c>
      <c r="AF10" s="181">
        <f>STDEV('Biochem Summary'!N92:N111)</f>
        <v>16.201324861721659</v>
      </c>
      <c r="AG10" s="293">
        <f>COUNT('Biochem Summary'!N92:N111)</f>
        <v>20</v>
      </c>
      <c r="AH10" s="180">
        <f>AVERAGE('Biochem Summary'!O92:O111)</f>
        <v>4260.7280936726911</v>
      </c>
      <c r="AI10" s="181">
        <f>STDEV('Biochem Summary'!O92:O111)</f>
        <v>1514.8545275659085</v>
      </c>
      <c r="AJ10" s="293">
        <f>COUNT('Biochem Summary'!O92:O111)</f>
        <v>20</v>
      </c>
      <c r="AK10" s="180">
        <f>AVERAGE('Biochem Summary'!P92:P111)</f>
        <v>181.33754065455099</v>
      </c>
      <c r="AL10" s="181">
        <f>STDEV('Biochem Summary'!P92:P111)</f>
        <v>24.870569363983222</v>
      </c>
      <c r="AM10" s="293">
        <f>COUNT('Biochem Summary'!P92:P111)</f>
        <v>20</v>
      </c>
      <c r="AN10" s="374">
        <f>AVERAGE('Biochem Summary'!Q92:Q111)</f>
        <v>1.4873533397717514E-3</v>
      </c>
      <c r="AO10" s="346">
        <f>STDEV('Biochem Summary'!Q92:Q111)</f>
        <v>1.5568426795863977E-3</v>
      </c>
      <c r="AP10" s="293">
        <f>COUNT('Biochem Summary'!Q92:Q111)</f>
        <v>10</v>
      </c>
      <c r="AQ10" s="374">
        <f>AVERAGE('Biochem Summary'!R92:R111)</f>
        <v>1.046073054339523E-4</v>
      </c>
      <c r="AR10" s="346">
        <f>STDEV('Biochem Summary'!R92:R111)</f>
        <v>1.1159922772711135E-4</v>
      </c>
      <c r="AS10" s="293">
        <f>COUNT('Biochem Summary'!R92:R111)</f>
        <v>10</v>
      </c>
      <c r="AT10" s="374">
        <f>AVERAGE('Biochem Summary'!S92:S111)</f>
        <v>2.5460797841225418E-3</v>
      </c>
      <c r="AU10" s="346">
        <f>STDEV('Biochem Summary'!S92:S111)</f>
        <v>2.6981890282339578E-3</v>
      </c>
      <c r="AV10" s="293">
        <f>COUNT('Biochem Summary'!S92:S111)</f>
        <v>10</v>
      </c>
      <c r="AW10" s="180">
        <f>AVERAGE('Biochem Summary'!T92:T111)</f>
        <v>1.805865187506799</v>
      </c>
      <c r="AX10" s="181">
        <f>STDEV('Biochem Summary'!T92:T111)</f>
        <v>1.8353269534212437</v>
      </c>
      <c r="AY10" s="293">
        <f>COUNT('Biochem Summary'!T92:T111)</f>
        <v>10</v>
      </c>
      <c r="AZ10" s="374">
        <f>AVERAGE('Biochem Summary'!U92:U111)</f>
        <v>0.12756291767857136</v>
      </c>
      <c r="BA10" s="346">
        <f>STDEV('Biochem Summary'!U92:U111)</f>
        <v>0.13535219692403339</v>
      </c>
      <c r="BB10" s="293">
        <f>COUNT('Biochem Summary'!U92:U111)</f>
        <v>10</v>
      </c>
      <c r="BC10" s="180">
        <f>AVERAGE('Biochem Summary'!V92:V111)</f>
        <v>3.0867307544782938</v>
      </c>
      <c r="BD10" s="181">
        <f>STDEV('Biochem Summary'!V92:V111)</f>
        <v>3.1764901232733229</v>
      </c>
      <c r="BE10" s="293">
        <f>COUNT('Biochem Summary'!V92:V111)</f>
        <v>10</v>
      </c>
      <c r="BF10" s="364">
        <f>AVERAGE('Biochem Summary'!W92:W111)</f>
        <v>3.6544243526224776E-2</v>
      </c>
      <c r="BG10" s="365">
        <f>STDEV('Biochem Summary'!W92:W111)</f>
        <v>2.181975038631612E-2</v>
      </c>
      <c r="BH10" s="346">
        <f>COUNT('Biochem Summary'!W92:W111)</f>
        <v>5</v>
      </c>
      <c r="BI10" s="364">
        <f>AVERAGE('Biochem Summary'!X92:X111)</f>
        <v>1.1795770600183553E-3</v>
      </c>
      <c r="BJ10" s="365">
        <f>STDEV('Biochem Summary'!X92:X111)</f>
        <v>3.6541977296234731E-4</v>
      </c>
      <c r="BK10" s="293">
        <f>COUNT('Biochem Summary'!X92:X111)</f>
        <v>5</v>
      </c>
      <c r="BL10" s="356">
        <f>AVERAGE('Biochem Summary'!Y92:Y111)</f>
        <v>6.9879071766205697E-2</v>
      </c>
      <c r="BM10" s="351">
        <f>STDEV('Biochem Summary'!Y92:Y111)</f>
        <v>4.3344032768430435E-2</v>
      </c>
      <c r="BN10" s="182">
        <f>COUNT('Biochem Summary'!Y92:Y111)</f>
        <v>5</v>
      </c>
      <c r="BO10" s="180">
        <f>AVERAGE('H&amp;E'!L29:L31)</f>
        <v>2381.1833333333334</v>
      </c>
      <c r="BP10" s="181">
        <f>STDEV('H&amp;E'!L29:L31)</f>
        <v>222.87653719791444</v>
      </c>
      <c r="BQ10" s="182">
        <v>3</v>
      </c>
      <c r="BR10" s="580">
        <f>AVERAGE('H&amp;E'!M29:M31)</f>
        <v>3.1946666666666664E-3</v>
      </c>
      <c r="BS10" s="581">
        <f>STDEV('H&amp;E'!M29:M31)</f>
        <v>5.5193598662646798E-5</v>
      </c>
      <c r="BT10" s="182">
        <v>3</v>
      </c>
      <c r="BU10" s="364">
        <f>AVERAGE('H&amp;E'!N29:N31)</f>
        <v>5.199494333333333</v>
      </c>
      <c r="BV10" s="365">
        <f>STDEV('H&amp;E'!N29:N31)</f>
        <v>0.28397119612794086</v>
      </c>
      <c r="BW10" s="293">
        <v>3</v>
      </c>
      <c r="BX10" s="257">
        <f>AVERAGE(SHG!X25:X27)</f>
        <v>1.8616869176793982</v>
      </c>
      <c r="BY10" s="162">
        <f>STDEV(SHG!X25:X27)</f>
        <v>4.9678334199441232E-2</v>
      </c>
      <c r="BZ10" s="165">
        <v>3</v>
      </c>
      <c r="CA10" s="257">
        <f>AVERAGE(SHG!Y25:Y27)</f>
        <v>30.650113661024307</v>
      </c>
      <c r="CB10" s="162">
        <f>STDEV(SHG!Y25:Y27)</f>
        <v>5.7164215593950862</v>
      </c>
      <c r="CC10" s="165">
        <v>3</v>
      </c>
      <c r="CD10" s="257">
        <f>AVERAGE(SHG!Z25:Z27)</f>
        <v>0.93200000000000005</v>
      </c>
      <c r="CE10" s="162">
        <f>STDEV(SHG!Z25:Z27)</f>
        <v>7.3105707331538455E-3</v>
      </c>
      <c r="CF10" s="165">
        <v>3</v>
      </c>
      <c r="CG10" s="162">
        <f>AVERAGE(SHG!AA25:AA27)</f>
        <v>97.771296296296313</v>
      </c>
      <c r="CH10" s="162">
        <f>STDEV(SHG!AA25:AA27)</f>
        <v>4.9827750936345412</v>
      </c>
      <c r="CI10" s="165">
        <v>3</v>
      </c>
      <c r="CJ10" s="162">
        <f>AVERAGE(SHG!AB25:AB27)</f>
        <v>0.9761481481481481</v>
      </c>
      <c r="CK10" s="162">
        <f>STDEV(SHG!AB25:AB27)</f>
        <v>1.9811560826619209E-2</v>
      </c>
      <c r="CL10" s="165">
        <v>3</v>
      </c>
      <c r="CM10" s="162">
        <f>AVERAGE(TolBlue!F17:F20)</f>
        <v>0.22776669364498925</v>
      </c>
      <c r="CN10" s="162">
        <f>STDEV(TolBlue!F17:F20)</f>
        <v>2.8755694780031107E-2</v>
      </c>
      <c r="CO10" s="165">
        <f>COUNT(TolBlue!F17:F20)</f>
        <v>4</v>
      </c>
      <c r="CP10" s="162">
        <f>AVERAGE('Biochem Summary'!Z92:Z111)</f>
        <v>3.4282390581838262</v>
      </c>
      <c r="CQ10" s="162">
        <f>STDEV('Biochem Summary'!Z92:Z111)</f>
        <v>0.24681787679072842</v>
      </c>
      <c r="CR10" s="165">
        <f>COUNT('Biochem Summary'!Z92:Z111)</f>
        <v>20</v>
      </c>
      <c r="CS10" s="162">
        <f>AVERAGE(Mechanics!H28:H33)</f>
        <v>24.626616666666667</v>
      </c>
      <c r="CT10" s="162">
        <f>STDEV(Mechanics!H28:H33)</f>
        <v>7.0516435455620297</v>
      </c>
      <c r="CU10" s="165">
        <f>COUNT(Mechanics!H28:H33)</f>
        <v>6</v>
      </c>
      <c r="CV10" s="162">
        <f>AVERAGE(Mechanics!I28:I33)</f>
        <v>96.433599999999998</v>
      </c>
      <c r="CW10" s="162">
        <f>STDEV(Mechanics!I28:I33)</f>
        <v>59.236233128955782</v>
      </c>
      <c r="CX10" s="165">
        <f>COUNT(Mechanics!I28:I33)</f>
        <v>6</v>
      </c>
      <c r="CY10" s="162">
        <f>AVERAGE(Mechanics!J28:J33)</f>
        <v>5.1546166666666666</v>
      </c>
      <c r="CZ10" s="162">
        <f>STDEV(Mechanics!J28:J33)</f>
        <v>2.3438149896411766</v>
      </c>
      <c r="DA10" s="165">
        <f>COUNT(Mechanics!J28:J33)</f>
        <v>6</v>
      </c>
      <c r="DB10" s="162">
        <f>AVERAGE(Mechanics!K28:K33)</f>
        <v>11.604750000000001</v>
      </c>
      <c r="DC10" s="162">
        <f>STDEV(Mechanics!K28:K33)</f>
        <v>6.0586916596737295</v>
      </c>
      <c r="DD10" s="165">
        <f>COUNT(Mechanics!K28:K33)</f>
        <v>6</v>
      </c>
      <c r="DE10" s="162">
        <f>AVERAGE(Mechanics!L28:L33)</f>
        <v>0.18710000000000002</v>
      </c>
      <c r="DF10" s="162">
        <f>STDEV(Mechanics!L28:L33)</f>
        <v>7.5430259180252035E-2</v>
      </c>
      <c r="DG10" s="165">
        <f>COUNT(Mechanics!L28:L33)</f>
        <v>6</v>
      </c>
    </row>
    <row r="11" spans="1:111" ht="15.75" thickBot="1" x14ac:dyDescent="0.3">
      <c r="B11" s="646"/>
      <c r="C11" s="187" t="s">
        <v>37</v>
      </c>
      <c r="D11" s="188">
        <f>Viability!S40</f>
        <v>34.899939704445451</v>
      </c>
      <c r="E11" s="189">
        <f>Viability!AA8</f>
        <v>6.2580261215710378</v>
      </c>
      <c r="F11" s="192">
        <f>Viability!AB8</f>
        <v>6</v>
      </c>
      <c r="G11" s="188">
        <f>Viability!Z8</f>
        <v>35.634214920371214</v>
      </c>
      <c r="H11" s="189">
        <f>STDEV(Viability!S29:S39)</f>
        <v>11.53010043173308</v>
      </c>
      <c r="I11" s="192">
        <v>10</v>
      </c>
      <c r="J11" s="252">
        <f>AVERAGE('Biochem Summary'!G117:G132)</f>
        <v>72.357576646416376</v>
      </c>
      <c r="K11" s="253">
        <f>STDEV('Biochem Summary'!G117:G132)</f>
        <v>1.7274700028916588</v>
      </c>
      <c r="L11" s="254">
        <f>COUNT('Biochem Summary'!G117:G132)</f>
        <v>14</v>
      </c>
      <c r="M11" s="252">
        <f>AVERAGE('Alamar Blue - Analysis'!L27,'Alamar Blue - Analysis'!L29,'Alamar Blue - Analysis'!L30,'Alamar Blue - Analysis'!L32,'Alamar Blue - Analysis'!L33)</f>
        <v>2.2666626833567354</v>
      </c>
      <c r="N11" s="253">
        <f>STDEV('Alamar Blue - Analysis'!L27,'Alamar Blue - Analysis'!L29,'Alamar Blue - Analysis'!L30,'Alamar Blue - Analysis'!L32,'Alamar Blue - Analysis'!L33)</f>
        <v>0.40952054819316941</v>
      </c>
      <c r="O11" s="254">
        <f>COUNT('Alamar Blue - Analysis'!L27,'Alamar Blue - Analysis'!L29,'Alamar Blue - Analysis'!L30,'Alamar Blue - Analysis'!L32,'Alamar Blue - Analysis'!L33)</f>
        <v>5</v>
      </c>
      <c r="P11" s="252">
        <f>AVERAGE('Biochem Summary'!I117:I132)</f>
        <v>23.295079277261202</v>
      </c>
      <c r="Q11" s="253">
        <f>STDEV('Biochem Summary'!I117:I132)</f>
        <v>10.26185594918393</v>
      </c>
      <c r="R11" s="254">
        <f>COUNT('Biochem Summary'!I117:I132)</f>
        <v>13</v>
      </c>
      <c r="S11" s="188">
        <f>AVERAGE('Biochem Summary'!J117:J132)</f>
        <v>45.920794522968407</v>
      </c>
      <c r="T11" s="189">
        <f>STDEV('Biochem Summary'!J117:J132)</f>
        <v>23.368386218806123</v>
      </c>
      <c r="U11" s="195">
        <f>COUNT('Biochem Summary'!J117:J132)</f>
        <v>13</v>
      </c>
      <c r="V11" s="188">
        <f>AVERAGE('Biochem Summary'!K117:K132)</f>
        <v>202.27324615384617</v>
      </c>
      <c r="W11" s="189">
        <f>STDEV('Biochem Summary'!K117:K132)</f>
        <v>38.676006560864209</v>
      </c>
      <c r="X11" s="195">
        <f>COUNT('Biochem Summary'!K117:K132)</f>
        <v>13</v>
      </c>
      <c r="Y11" s="188">
        <f>AVERAGE('Biochem Summary'!L117:L132)</f>
        <v>11717.380120131334</v>
      </c>
      <c r="Z11" s="189">
        <f>STDEV('Biochem Summary'!L117:L132)</f>
        <v>8442.3255340748328</v>
      </c>
      <c r="AA11" s="195">
        <f>COUNT('Biochem Summary'!L117:L132)</f>
        <v>13</v>
      </c>
      <c r="AB11" s="188">
        <f>AVERAGE('Biochem Summary'!M117:M132)</f>
        <v>389.30134753870323</v>
      </c>
      <c r="AC11" s="189">
        <f>STDEV('Biochem Summary'!M117:M132)</f>
        <v>67.351850680353948</v>
      </c>
      <c r="AD11" s="195">
        <f>COUNT('Biochem Summary'!M117:M132)</f>
        <v>13</v>
      </c>
      <c r="AE11" s="188">
        <f>AVERAGE('Biochem Summary'!N117:N132)</f>
        <v>84.000437937509389</v>
      </c>
      <c r="AF11" s="189">
        <f>STDEV('Biochem Summary'!N117:N132)</f>
        <v>22.044877058479631</v>
      </c>
      <c r="AG11" s="189">
        <f>COUNT('Biochem Summary'!N117:N132)</f>
        <v>13</v>
      </c>
      <c r="AH11" s="188">
        <f>AVERAGE('Biochem Summary'!O117:O132)</f>
        <v>4721.1672863624881</v>
      </c>
      <c r="AI11" s="189">
        <f>STDEV('Biochem Summary'!O117:O132)</f>
        <v>3239.0952115198797</v>
      </c>
      <c r="AJ11" s="189">
        <f>COUNT('Biochem Summary'!O117:O132)</f>
        <v>13</v>
      </c>
      <c r="AK11" s="188">
        <f>AVERAGE('Biochem Summary'!P117:P132)</f>
        <v>160.99287794139897</v>
      </c>
      <c r="AL11" s="189">
        <f>STDEV('Biochem Summary'!P117:P132)</f>
        <v>30.951188351382346</v>
      </c>
      <c r="AM11" s="189">
        <f>COUNT('Biochem Summary'!P117:P132)</f>
        <v>13</v>
      </c>
      <c r="AN11" s="238">
        <f>AVERAGE('Biochem Summary'!Q117:Q132)</f>
        <v>1.779413311474277E-3</v>
      </c>
      <c r="AO11" s="46">
        <f>STDEV('Biochem Summary'!Q117:Q132)</f>
        <v>9.0559505489158719E-4</v>
      </c>
      <c r="AP11" s="46">
        <f>COUNT('Biochem Summary'!Q117:Q132)</f>
        <v>8</v>
      </c>
      <c r="AQ11" s="238">
        <f>AVERAGE('Biochem Summary'!R117:R132)</f>
        <v>1.533959724755036E-4</v>
      </c>
      <c r="AR11" s="46">
        <f>STDEV('Biochem Summary'!R117:R132)</f>
        <v>1.6507971071209898E-4</v>
      </c>
      <c r="AS11" s="46">
        <f>COUNT('Biochem Summary'!R117:R132)</f>
        <v>8</v>
      </c>
      <c r="AT11" s="238">
        <f>AVERAGE('Biochem Summary'!S117:S132)</f>
        <v>3.6515607615362411E-3</v>
      </c>
      <c r="AU11" s="46">
        <f>STDEV('Biochem Summary'!S117:S132)</f>
        <v>1.6653747839289947E-3</v>
      </c>
      <c r="AV11" s="46">
        <f>COUNT('Biochem Summary'!S117:S132)</f>
        <v>8</v>
      </c>
      <c r="AW11" s="188">
        <f>AVERAGE('Biochem Summary'!T117:T132)</f>
        <v>0.90054621922809941</v>
      </c>
      <c r="AX11" s="189">
        <f>STDEV('Biochem Summary'!T117:T132)</f>
        <v>0.83831997575645556</v>
      </c>
      <c r="AY11" s="46">
        <f>COUNT('Biochem Summary'!T117:T132)</f>
        <v>8</v>
      </c>
      <c r="AZ11" s="238">
        <f>AVERAGE('Biochem Summary'!U117:U132)</f>
        <v>4.3698460170825432E-2</v>
      </c>
      <c r="BA11" s="46">
        <f>STDEV('Biochem Summary'!U117:U132)</f>
        <v>3.7740155821662583E-2</v>
      </c>
      <c r="BB11" s="46">
        <f>COUNT('Biochem Summary'!U117:U132)</f>
        <v>8</v>
      </c>
      <c r="BC11" s="188">
        <f>AVERAGE('Biochem Summary'!V117:V132)</f>
        <v>1.980288257630396</v>
      </c>
      <c r="BD11" s="189">
        <f>STDEV('Biochem Summary'!V117:V132)</f>
        <v>1.859690552591311</v>
      </c>
      <c r="BE11" s="46">
        <f>COUNT('Biochem Summary'!V117:V132)</f>
        <v>8</v>
      </c>
      <c r="BF11" s="366">
        <f>AVERAGE('Biochem Summary'!W117:W132)</f>
        <v>2.4302800159856263E-2</v>
      </c>
      <c r="BG11" s="367">
        <f>STDEV('Biochem Summary'!W117:W132)</f>
        <v>1.2651901544557193E-2</v>
      </c>
      <c r="BH11" s="46">
        <f>COUNT('Biochem Summary'!W117:W132)</f>
        <v>5</v>
      </c>
      <c r="BI11" s="366">
        <f>AVERAGE('Biochem Summary'!X117:X132)</f>
        <v>8.4290036231886333E-4</v>
      </c>
      <c r="BJ11" s="367">
        <f>STDEV('Biochem Summary'!X117:X132)</f>
        <v>3.1425945729476125E-4</v>
      </c>
      <c r="BK11" s="46">
        <f>COUNT('Biochem Summary'!X117:X132)</f>
        <v>5</v>
      </c>
      <c r="BL11" s="357">
        <f>AVERAGE('Biochem Summary'!Y117:Y132)</f>
        <v>3.980405880423734E-2</v>
      </c>
      <c r="BM11" s="352">
        <f>STDEV('Biochem Summary'!Y117:Y132)</f>
        <v>1.7206931622250371E-2</v>
      </c>
      <c r="BN11" s="192">
        <f>COUNT('Biochem Summary'!Y117:Y132)</f>
        <v>5</v>
      </c>
      <c r="BO11" s="252">
        <f>AVERAGE('H&amp;E'!L32:L33)</f>
        <v>2964.6666665000002</v>
      </c>
      <c r="BP11" s="253">
        <f>STDEV('H&amp;E'!L32:L33)</f>
        <v>192.80444923923417</v>
      </c>
      <c r="BQ11" s="254">
        <v>2</v>
      </c>
      <c r="BR11" s="578">
        <f>AVERAGE('H&amp;E'!M32:M36)</f>
        <v>3.2144999999999999E-3</v>
      </c>
      <c r="BS11" s="579">
        <f>STDEV('H&amp;E'!M32:M36)</f>
        <v>5.0785726341167942E-4</v>
      </c>
      <c r="BT11" s="254">
        <v>4</v>
      </c>
      <c r="BU11" s="360">
        <f>AVERAGE('H&amp;E'!N32:N36)</f>
        <v>4.082605055876023</v>
      </c>
      <c r="BV11" s="361">
        <f>STDEV('H&amp;E'!N32:N36)</f>
        <v>0.68001871343897136</v>
      </c>
      <c r="BW11" s="292">
        <v>4</v>
      </c>
      <c r="BX11" s="81">
        <f>AVERAGE(SHG!X28:X29)</f>
        <v>1.8502802408854166</v>
      </c>
      <c r="BY11" s="6">
        <f>STDEV(SHG!X28:X29)</f>
        <v>5.6309408115281824E-2</v>
      </c>
      <c r="BZ11" s="7">
        <v>2</v>
      </c>
      <c r="CA11" s="81">
        <f>AVERAGE(SHG!Y28:Y29)</f>
        <v>26.56209928385417</v>
      </c>
      <c r="CB11" s="6">
        <f>STDEV(SHG!Y28:Y29)</f>
        <v>7.0692052115811901</v>
      </c>
      <c r="CC11" s="7">
        <v>2</v>
      </c>
      <c r="CD11" s="81">
        <f>AVERAGE(SHG!Z28:Z29)</f>
        <v>0.92433333333333323</v>
      </c>
      <c r="CE11" s="6">
        <f>STDEV(SHG!Z28:Z29)</f>
        <v>1.0842303978193713E-2</v>
      </c>
      <c r="CF11" s="7">
        <v>2</v>
      </c>
      <c r="CG11" s="6">
        <f>AVERAGE(SHG!AA28:AA29)</f>
        <v>86.493333333333339</v>
      </c>
      <c r="CH11" s="6">
        <f>STDEV(SHG!AA28:AA29)</f>
        <v>8.193010571348136</v>
      </c>
      <c r="CI11" s="7">
        <v>2</v>
      </c>
      <c r="CJ11" s="6">
        <f>AVERAGE(SHG!AB28:AB29)</f>
        <v>0.98358333333333348</v>
      </c>
      <c r="CK11" s="6">
        <f>STDEV(SHG!AB28:AB29)</f>
        <v>3.5355339059331333E-4</v>
      </c>
      <c r="CL11" s="7">
        <v>2</v>
      </c>
      <c r="CM11" s="6">
        <f>AVERAGE(TolBlue!F21:F24)</f>
        <v>0.12769615229680148</v>
      </c>
      <c r="CN11" s="6">
        <f>STDEV(TolBlue!F21:F24)</f>
        <v>7.4188934994569966E-2</v>
      </c>
      <c r="CO11" s="7">
        <f>COUNT(TolBlue!F21:F24)</f>
        <v>4</v>
      </c>
      <c r="CP11" s="6">
        <f>AVERAGE('Biochem Summary'!Z117:Z130)</f>
        <v>3.6306553832571993</v>
      </c>
      <c r="CQ11" s="6">
        <f>STDEV('Biochem Summary'!Z117:Z130)</f>
        <v>0.22498850081013183</v>
      </c>
      <c r="CR11" s="7">
        <f>COUNT('Biochem Summary'!Z117:Z130)</f>
        <v>14</v>
      </c>
      <c r="CS11" s="6">
        <f>AVERAGE(Mechanics!H12:H19)</f>
        <v>27.409842857142859</v>
      </c>
      <c r="CT11" s="6">
        <f>STDEV(Mechanics!H12:H19)</f>
        <v>13.454491370524698</v>
      </c>
      <c r="CU11" s="7">
        <f>COUNT(Mechanics!H12:H19)</f>
        <v>7</v>
      </c>
      <c r="CV11" s="6">
        <f>AVERAGE(Mechanics!I12:I19)</f>
        <v>81.71942857142858</v>
      </c>
      <c r="CW11" s="6">
        <f>STDEV(Mechanics!I12:I19)</f>
        <v>27.713748248400311</v>
      </c>
      <c r="CX11" s="7">
        <f>COUNT(Mechanics!I12:I19)</f>
        <v>7</v>
      </c>
      <c r="CY11" s="6">
        <f>AVERAGE(Mechanics!J12:J19)</f>
        <v>3.6319428571428571</v>
      </c>
      <c r="CZ11" s="6">
        <f>STDEV(Mechanics!J12:J19)</f>
        <v>0.59668015680413866</v>
      </c>
      <c r="DA11" s="7">
        <f>COUNT(Mechanics!J12:J19)</f>
        <v>7</v>
      </c>
      <c r="DB11" s="6">
        <f>AVERAGE(Mechanics!K12:K19)</f>
        <v>11.36917142857143</v>
      </c>
      <c r="DC11" s="6">
        <f>STDEV(Mechanics!K12:K19)</f>
        <v>4.2471863226196653</v>
      </c>
      <c r="DD11" s="7">
        <f>COUNT(Mechanics!K12:K19)</f>
        <v>7</v>
      </c>
      <c r="DE11" s="6">
        <f>AVERAGE(Mechanics!L12:L19)</f>
        <v>0.20138571428571428</v>
      </c>
      <c r="DF11" s="6">
        <f>STDEV(Mechanics!L12:L19)</f>
        <v>3.5796993755129278E-2</v>
      </c>
      <c r="DG11" s="7">
        <f>COUNT(Mechanics!L12:L19)</f>
        <v>7</v>
      </c>
    </row>
    <row r="16" spans="1:111" x14ac:dyDescent="0.25">
      <c r="AO16" s="294"/>
      <c r="AP16" s="294"/>
      <c r="AQ16" s="295"/>
    </row>
  </sheetData>
  <mergeCells count="42">
    <mergeCell ref="DE2:DG2"/>
    <mergeCell ref="DB2:DD2"/>
    <mergeCell ref="CY2:DA2"/>
    <mergeCell ref="CV2:CX2"/>
    <mergeCell ref="CS2:CU2"/>
    <mergeCell ref="CP2:CR2"/>
    <mergeCell ref="CM2:CO2"/>
    <mergeCell ref="BL1:BT1"/>
    <mergeCell ref="CG2:CI2"/>
    <mergeCell ref="CD2:CF2"/>
    <mergeCell ref="CA2:CC2"/>
    <mergeCell ref="BX2:BZ2"/>
    <mergeCell ref="BU1:CI1"/>
    <mergeCell ref="CJ2:CL2"/>
    <mergeCell ref="BU2:BW2"/>
    <mergeCell ref="BR2:BT2"/>
    <mergeCell ref="BO2:BQ2"/>
    <mergeCell ref="V2:X2"/>
    <mergeCell ref="G2:I2"/>
    <mergeCell ref="S2:U2"/>
    <mergeCell ref="B4:B7"/>
    <mergeCell ref="B8:B11"/>
    <mergeCell ref="B2:B3"/>
    <mergeCell ref="C2:C3"/>
    <mergeCell ref="P2:R2"/>
    <mergeCell ref="M2:O2"/>
    <mergeCell ref="D2:F2"/>
    <mergeCell ref="J2:L2"/>
    <mergeCell ref="Y2:AA2"/>
    <mergeCell ref="AB2:AD2"/>
    <mergeCell ref="AE2:AG2"/>
    <mergeCell ref="AK2:AM2"/>
    <mergeCell ref="AH2:AJ2"/>
    <mergeCell ref="AT2:AV2"/>
    <mergeCell ref="AQ2:AS2"/>
    <mergeCell ref="AN2:AP2"/>
    <mergeCell ref="BL2:BN2"/>
    <mergeCell ref="BI2:BK2"/>
    <mergeCell ref="BF2:BH2"/>
    <mergeCell ref="BC2:BE2"/>
    <mergeCell ref="AW2:AY2"/>
    <mergeCell ref="AZ2:BB2"/>
  </mergeCells>
  <hyperlinks>
    <hyperlink ref="A1" location="'Table of Contents'!A1" display="Table of Contents" xr:uid="{9CB37A98-77B1-4DCE-A0D0-B01AD0A46148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4C17-7C03-4CAD-A24C-73CF2C37D6E8}">
  <sheetPr codeName="Sheet3"/>
  <dimension ref="A1:AB88"/>
  <sheetViews>
    <sheetView zoomScale="85" zoomScaleNormal="85" workbookViewId="0">
      <selection activeCell="R28" sqref="R28"/>
    </sheetView>
  </sheetViews>
  <sheetFormatPr defaultRowHeight="15" x14ac:dyDescent="0.25"/>
  <cols>
    <col min="1" max="1" width="30.28515625" customWidth="1"/>
    <col min="2" max="2" width="12.140625" customWidth="1"/>
    <col min="3" max="3" width="10.85546875" customWidth="1"/>
    <col min="5" max="5" width="7.140625" customWidth="1"/>
    <col min="6" max="6" width="7.85546875" customWidth="1"/>
    <col min="7" max="7" width="8" customWidth="1"/>
    <col min="8" max="8" width="7.5703125" customWidth="1"/>
    <col min="9" max="9" width="8.7109375" customWidth="1"/>
    <col min="10" max="10" width="10.42578125" customWidth="1"/>
    <col min="11" max="11" width="11.42578125" customWidth="1"/>
    <col min="12" max="12" width="12.7109375" customWidth="1"/>
    <col min="13" max="13" width="12" customWidth="1"/>
    <col min="14" max="14" width="7.85546875" customWidth="1"/>
    <col min="15" max="15" width="8.42578125" customWidth="1"/>
    <col min="16" max="16" width="8.85546875" customWidth="1"/>
    <col min="17" max="17" width="8.140625" customWidth="1"/>
    <col min="18" max="18" width="9.140625" customWidth="1"/>
    <col min="20" max="20" width="9" customWidth="1"/>
    <col min="22" max="22" width="17.85546875" customWidth="1"/>
    <col min="23" max="23" width="11" customWidth="1"/>
    <col min="24" max="24" width="10.7109375" customWidth="1"/>
    <col min="26" max="26" width="10.5703125" customWidth="1"/>
    <col min="35" max="35" width="11" customWidth="1"/>
    <col min="37" max="37" width="11" customWidth="1"/>
  </cols>
  <sheetData>
    <row r="1" spans="1:28" ht="15.75" thickBot="1" x14ac:dyDescent="0.3">
      <c r="A1" s="1" t="s">
        <v>9</v>
      </c>
      <c r="B1" s="686" t="s">
        <v>7</v>
      </c>
      <c r="C1" s="687"/>
      <c r="D1" s="687"/>
      <c r="E1" s="687"/>
      <c r="F1" s="687"/>
      <c r="G1" s="687"/>
      <c r="H1" s="687"/>
      <c r="I1" s="687"/>
      <c r="J1" s="688"/>
      <c r="K1" s="37"/>
      <c r="L1" s="686" t="s">
        <v>93</v>
      </c>
      <c r="M1" s="687"/>
      <c r="N1" s="687"/>
      <c r="O1" s="687"/>
      <c r="P1" s="687"/>
      <c r="Q1" s="687"/>
      <c r="R1" s="687"/>
      <c r="S1" s="687"/>
      <c r="T1" s="688"/>
    </row>
    <row r="2" spans="1:28" ht="31.5" customHeight="1" thickBot="1" x14ac:dyDescent="0.3">
      <c r="B2" s="57" t="s">
        <v>8</v>
      </c>
      <c r="C2" s="58" t="s">
        <v>10</v>
      </c>
      <c r="D2" s="59" t="s">
        <v>54</v>
      </c>
      <c r="E2" s="58" t="s">
        <v>55</v>
      </c>
      <c r="F2" s="36" t="s">
        <v>6</v>
      </c>
      <c r="G2" s="36" t="s">
        <v>5</v>
      </c>
      <c r="H2" s="36" t="s">
        <v>3</v>
      </c>
      <c r="I2" s="36" t="s">
        <v>4</v>
      </c>
      <c r="J2" s="85" t="s">
        <v>79</v>
      </c>
      <c r="K2" s="37"/>
      <c r="L2" s="57" t="s">
        <v>8</v>
      </c>
      <c r="M2" s="58" t="s">
        <v>10</v>
      </c>
      <c r="N2" s="59" t="s">
        <v>54</v>
      </c>
      <c r="O2" s="58" t="s">
        <v>55</v>
      </c>
      <c r="P2" s="36" t="s">
        <v>6</v>
      </c>
      <c r="Q2" s="36" t="s">
        <v>5</v>
      </c>
      <c r="R2" s="36" t="s">
        <v>3</v>
      </c>
      <c r="S2" s="36" t="s">
        <v>4</v>
      </c>
      <c r="T2" s="85" t="s">
        <v>79</v>
      </c>
    </row>
    <row r="3" spans="1:28" x14ac:dyDescent="0.25">
      <c r="B3" s="645" t="s">
        <v>26</v>
      </c>
      <c r="C3" s="635" t="s">
        <v>24</v>
      </c>
      <c r="D3" s="666">
        <v>1</v>
      </c>
      <c r="E3" s="60" t="s">
        <v>13</v>
      </c>
      <c r="F3">
        <v>1885</v>
      </c>
      <c r="G3">
        <v>3994</v>
      </c>
      <c r="H3">
        <v>5879</v>
      </c>
      <c r="I3" s="45">
        <v>32.063276070000001</v>
      </c>
      <c r="J3" s="668">
        <f>AVERAGE(I3:I4)</f>
        <v>34.796344035000004</v>
      </c>
      <c r="K3" s="45"/>
      <c r="L3" s="644" t="s">
        <v>26</v>
      </c>
      <c r="M3" s="635" t="s">
        <v>34</v>
      </c>
      <c r="N3" s="665">
        <v>1</v>
      </c>
      <c r="O3" s="62" t="s">
        <v>13</v>
      </c>
      <c r="P3" s="8">
        <v>4670</v>
      </c>
      <c r="Q3" s="8">
        <v>2552</v>
      </c>
      <c r="R3" s="8">
        <v>7222</v>
      </c>
      <c r="S3" s="84">
        <v>64.663527999999999</v>
      </c>
      <c r="T3" s="667">
        <f>AVERAGE(S3:S4)</f>
        <v>57.235119499999996</v>
      </c>
      <c r="V3" s="647" t="s">
        <v>10</v>
      </c>
      <c r="W3" s="640" t="s">
        <v>42</v>
      </c>
      <c r="X3" s="634"/>
      <c r="Y3" s="634"/>
      <c r="Z3" s="640" t="s">
        <v>63</v>
      </c>
      <c r="AA3" s="634"/>
      <c r="AB3" s="637"/>
    </row>
    <row r="4" spans="1:28" ht="15.75" thickBot="1" x14ac:dyDescent="0.3">
      <c r="B4" s="645"/>
      <c r="C4" s="657"/>
      <c r="D4" s="666"/>
      <c r="E4" s="60" t="s">
        <v>14</v>
      </c>
      <c r="F4">
        <v>2871</v>
      </c>
      <c r="G4">
        <v>4779</v>
      </c>
      <c r="H4">
        <v>7650</v>
      </c>
      <c r="I4" s="104">
        <v>37.529412000000001</v>
      </c>
      <c r="J4" s="668"/>
      <c r="K4" s="45"/>
      <c r="L4" s="645"/>
      <c r="M4" s="657"/>
      <c r="N4" s="666"/>
      <c r="O4" s="60" t="s">
        <v>14</v>
      </c>
      <c r="P4">
        <v>3221</v>
      </c>
      <c r="Q4">
        <v>3246</v>
      </c>
      <c r="R4">
        <v>6467</v>
      </c>
      <c r="S4" s="45">
        <v>49.806711</v>
      </c>
      <c r="T4" s="668"/>
      <c r="V4" s="656"/>
      <c r="W4" s="33" t="s">
        <v>81</v>
      </c>
      <c r="X4" s="101" t="s">
        <v>82</v>
      </c>
      <c r="Y4" s="33" t="s">
        <v>83</v>
      </c>
      <c r="Z4" s="32" t="s">
        <v>81</v>
      </c>
      <c r="AA4" s="101" t="s">
        <v>82</v>
      </c>
      <c r="AB4" s="78" t="s">
        <v>83</v>
      </c>
    </row>
    <row r="5" spans="1:28" x14ac:dyDescent="0.25">
      <c r="B5" s="645"/>
      <c r="C5" s="657"/>
      <c r="D5" s="666">
        <v>2</v>
      </c>
      <c r="E5" s="60" t="s">
        <v>13</v>
      </c>
      <c r="F5">
        <v>2800</v>
      </c>
      <c r="G5">
        <v>7146</v>
      </c>
      <c r="H5">
        <v>9946</v>
      </c>
      <c r="I5" s="45">
        <v>28.152021000000001</v>
      </c>
      <c r="J5" s="668">
        <f>AVERAGE(I5:I6)</f>
        <v>30.88259</v>
      </c>
      <c r="K5" s="45"/>
      <c r="L5" s="645"/>
      <c r="M5" s="657"/>
      <c r="N5" s="666">
        <v>2</v>
      </c>
      <c r="O5" s="60" t="s">
        <v>13</v>
      </c>
      <c r="P5">
        <v>3089</v>
      </c>
      <c r="Q5">
        <v>5568</v>
      </c>
      <c r="R5">
        <v>8657</v>
      </c>
      <c r="S5" s="104">
        <v>35.682107000000002</v>
      </c>
      <c r="T5" s="668">
        <f>AVERAGE(S5:S6)</f>
        <v>32.798349999999999</v>
      </c>
      <c r="V5" s="89" t="s">
        <v>26</v>
      </c>
      <c r="W5" s="45">
        <f>AVERAGE(J3:J10)</f>
        <v>39.009623383749997</v>
      </c>
      <c r="X5" s="102">
        <f>STDEV(J3:J10)</f>
        <v>10.472338025582244</v>
      </c>
      <c r="Y5">
        <v>4</v>
      </c>
      <c r="Z5" s="91">
        <f>AVERAGE(T3:T10)</f>
        <v>38.288229596249998</v>
      </c>
      <c r="AA5" s="102">
        <f>STDEV(T3:T10)</f>
        <v>12.790351102883635</v>
      </c>
      <c r="AB5" s="4">
        <v>4</v>
      </c>
    </row>
    <row r="6" spans="1:28" x14ac:dyDescent="0.25">
      <c r="B6" s="645"/>
      <c r="C6" s="657"/>
      <c r="D6" s="666"/>
      <c r="E6" s="60" t="s">
        <v>14</v>
      </c>
      <c r="F6">
        <v>4925</v>
      </c>
      <c r="G6">
        <v>9727</v>
      </c>
      <c r="H6">
        <v>14652</v>
      </c>
      <c r="I6" s="45">
        <v>33.613159000000003</v>
      </c>
      <c r="J6" s="668"/>
      <c r="K6" s="45"/>
      <c r="L6" s="645"/>
      <c r="M6" s="657"/>
      <c r="N6" s="666"/>
      <c r="O6" s="60" t="s">
        <v>14</v>
      </c>
      <c r="P6">
        <v>4028</v>
      </c>
      <c r="Q6">
        <v>9437</v>
      </c>
      <c r="R6">
        <v>13465</v>
      </c>
      <c r="S6" s="45">
        <v>29.914593</v>
      </c>
      <c r="T6" s="668"/>
      <c r="V6" s="89" t="s">
        <v>11</v>
      </c>
      <c r="W6" s="45">
        <f>AVERAGE(J12:J19)</f>
        <v>29.2697262475</v>
      </c>
      <c r="X6" s="102">
        <f>STDEV(J12:J19)</f>
        <v>5.5703797065970457</v>
      </c>
      <c r="Y6">
        <v>4</v>
      </c>
      <c r="Z6" s="91">
        <f>AVERAGE(T12:T19)</f>
        <v>31.741872250000004</v>
      </c>
      <c r="AA6" s="102">
        <f>STDEV(T12:T19)</f>
        <v>2.6081264969261775</v>
      </c>
      <c r="AB6" s="4">
        <v>4</v>
      </c>
    </row>
    <row r="7" spans="1:28" x14ac:dyDescent="0.25">
      <c r="B7" s="645"/>
      <c r="C7" s="657"/>
      <c r="D7" s="666">
        <v>3</v>
      </c>
      <c r="E7" s="60" t="s">
        <v>13</v>
      </c>
      <c r="F7">
        <v>2439</v>
      </c>
      <c r="G7">
        <v>7493</v>
      </c>
      <c r="H7">
        <v>9932</v>
      </c>
      <c r="I7" s="45">
        <v>24.556988</v>
      </c>
      <c r="J7" s="668">
        <f>AVERAGE(I7:I8)</f>
        <v>35.985554999999998</v>
      </c>
      <c r="K7" s="45"/>
      <c r="L7" s="645"/>
      <c r="M7" s="657"/>
      <c r="N7" s="666">
        <v>3</v>
      </c>
      <c r="O7" s="60" t="s">
        <v>13</v>
      </c>
      <c r="P7">
        <v>2535</v>
      </c>
      <c r="Q7">
        <v>8026</v>
      </c>
      <c r="R7">
        <v>10561</v>
      </c>
      <c r="S7" s="45">
        <v>24.00340877</v>
      </c>
      <c r="T7" s="668">
        <f>AVERAGE(S7:S8)</f>
        <v>33.916657385000001</v>
      </c>
      <c r="V7" s="89" t="s">
        <v>12</v>
      </c>
      <c r="W7" s="45">
        <f>AVERAGE(J21:J28)</f>
        <v>28.728126558750002</v>
      </c>
      <c r="X7" s="102">
        <f>STDEV(J21:J28)</f>
        <v>4.7154309906825498</v>
      </c>
      <c r="Y7">
        <v>4</v>
      </c>
      <c r="Z7" s="91">
        <f>AVERAGE(T21:T27)</f>
        <v>21.113805347400003</v>
      </c>
      <c r="AA7" s="102">
        <f>STDEV(T21:T27)</f>
        <v>17.020700432943624</v>
      </c>
      <c r="AB7" s="4">
        <v>4</v>
      </c>
    </row>
    <row r="8" spans="1:28" ht="15.75" thickBot="1" x14ac:dyDescent="0.3">
      <c r="B8" s="645"/>
      <c r="C8" s="657"/>
      <c r="D8" s="666"/>
      <c r="E8" s="60" t="s">
        <v>14</v>
      </c>
      <c r="F8">
        <v>4969</v>
      </c>
      <c r="G8">
        <v>5511</v>
      </c>
      <c r="H8">
        <v>10480</v>
      </c>
      <c r="I8" s="45">
        <v>47.414121999999999</v>
      </c>
      <c r="J8" s="668"/>
      <c r="K8" s="45"/>
      <c r="L8" s="645"/>
      <c r="M8" s="657"/>
      <c r="N8" s="666"/>
      <c r="O8" s="60" t="s">
        <v>14</v>
      </c>
      <c r="P8">
        <v>6308</v>
      </c>
      <c r="Q8">
        <v>8084</v>
      </c>
      <c r="R8">
        <v>14392</v>
      </c>
      <c r="S8" s="45">
        <v>43.829906000000001</v>
      </c>
      <c r="T8" s="668"/>
      <c r="V8" s="90" t="s">
        <v>80</v>
      </c>
      <c r="W8" s="86">
        <f>AVERAGE(J30:J37)</f>
        <v>36.192699249999997</v>
      </c>
      <c r="X8" s="103">
        <f>STDEV(J30:J37)</f>
        <v>7.8084947420903577</v>
      </c>
      <c r="Y8" s="6">
        <v>4</v>
      </c>
      <c r="Z8" s="97">
        <f>AVERAGE(T29:T39)</f>
        <v>35.634214920371214</v>
      </c>
      <c r="AA8" s="103">
        <f>STDEV(T29:T39)</f>
        <v>6.2580261215710378</v>
      </c>
      <c r="AB8" s="7">
        <v>6</v>
      </c>
    </row>
    <row r="9" spans="1:28" x14ac:dyDescent="0.25">
      <c r="B9" s="645"/>
      <c r="C9" s="657"/>
      <c r="D9" s="666">
        <v>4</v>
      </c>
      <c r="E9" s="60" t="s">
        <v>13</v>
      </c>
      <c r="F9">
        <v>3347</v>
      </c>
      <c r="G9">
        <v>3339</v>
      </c>
      <c r="H9">
        <v>6686</v>
      </c>
      <c r="I9" s="45">
        <v>50.059826999999999</v>
      </c>
      <c r="J9" s="668">
        <f>AVERAGE(I9:I10)</f>
        <v>54.374004499999998</v>
      </c>
      <c r="K9" s="45"/>
      <c r="L9" s="645"/>
      <c r="M9" s="657"/>
      <c r="N9" s="666">
        <v>4</v>
      </c>
      <c r="O9" s="60" t="s">
        <v>13</v>
      </c>
      <c r="P9">
        <v>938</v>
      </c>
      <c r="Q9">
        <v>4857</v>
      </c>
      <c r="R9">
        <v>5795</v>
      </c>
      <c r="S9" s="45">
        <v>16.186368000000002</v>
      </c>
      <c r="T9" s="668">
        <f>AVERAGE(S9:S10)</f>
        <v>29.2027915</v>
      </c>
    </row>
    <row r="10" spans="1:28" ht="15.75" thickBot="1" x14ac:dyDescent="0.3">
      <c r="B10" s="645"/>
      <c r="C10" s="657"/>
      <c r="D10" s="673"/>
      <c r="E10" s="61" t="s">
        <v>14</v>
      </c>
      <c r="F10" s="3">
        <v>7856</v>
      </c>
      <c r="G10" s="3">
        <v>5530</v>
      </c>
      <c r="H10" s="3">
        <v>13386</v>
      </c>
      <c r="I10" s="83">
        <v>58.688181999999998</v>
      </c>
      <c r="J10" s="674"/>
      <c r="K10" s="45"/>
      <c r="L10" s="645"/>
      <c r="M10" s="657"/>
      <c r="N10" s="673"/>
      <c r="O10" s="61" t="s">
        <v>14</v>
      </c>
      <c r="P10" s="3">
        <v>5616</v>
      </c>
      <c r="Q10" s="3">
        <v>7686</v>
      </c>
      <c r="R10" s="3">
        <v>13302</v>
      </c>
      <c r="S10" s="83">
        <v>42.219214999999998</v>
      </c>
      <c r="T10" s="674"/>
    </row>
    <row r="11" spans="1:28" ht="16.5" thickTop="1" thickBot="1" x14ac:dyDescent="0.3">
      <c r="B11" s="646"/>
      <c r="C11" s="636"/>
      <c r="D11" s="677" t="s">
        <v>2</v>
      </c>
      <c r="E11" s="678"/>
      <c r="F11" s="65">
        <f>AVERAGE(F3:F10)</f>
        <v>3886.5</v>
      </c>
      <c r="G11" s="65">
        <f>AVERAGE(G3:G10)</f>
        <v>5939.875</v>
      </c>
      <c r="H11" s="65">
        <f>AVERAGE(H3:H10)</f>
        <v>9826.375</v>
      </c>
      <c r="I11" s="663">
        <f>AVERAGE(I3:I10)</f>
        <v>39.009623383749997</v>
      </c>
      <c r="J11" s="664"/>
      <c r="K11" s="45"/>
      <c r="L11" s="646"/>
      <c r="M11" s="636"/>
      <c r="N11" s="651" t="s">
        <v>2</v>
      </c>
      <c r="O11" s="653"/>
      <c r="P11" s="65">
        <f>AVERAGE(P3:P10)</f>
        <v>3800.625</v>
      </c>
      <c r="Q11" s="65">
        <f>AVERAGE(Q3:Q10)</f>
        <v>6182</v>
      </c>
      <c r="R11" s="75">
        <f>AVERAGE(R3:R10)</f>
        <v>9982.625</v>
      </c>
      <c r="S11" s="663">
        <f>AVERAGE(S3:S10)</f>
        <v>38.288229596249998</v>
      </c>
      <c r="T11" s="664"/>
      <c r="V11" s="644" t="s">
        <v>77</v>
      </c>
      <c r="W11" s="640" t="s">
        <v>72</v>
      </c>
      <c r="X11" s="637"/>
      <c r="Y11" s="634" t="s">
        <v>73</v>
      </c>
      <c r="Z11" s="637"/>
    </row>
    <row r="12" spans="1:28" ht="15.75" thickBot="1" x14ac:dyDescent="0.3">
      <c r="B12" s="644" t="s">
        <v>11</v>
      </c>
      <c r="C12" s="635" t="s">
        <v>31</v>
      </c>
      <c r="D12" s="665">
        <v>1</v>
      </c>
      <c r="E12" s="62" t="s">
        <v>13</v>
      </c>
      <c r="F12" s="8">
        <v>3320</v>
      </c>
      <c r="G12" s="8">
        <v>6033</v>
      </c>
      <c r="H12" s="8">
        <v>9353</v>
      </c>
      <c r="I12" s="84">
        <v>35.496631999999998</v>
      </c>
      <c r="J12" s="667">
        <f>AVERAGE(I12:I13)</f>
        <v>36.508744999999998</v>
      </c>
      <c r="K12" s="45"/>
      <c r="L12" s="644" t="s">
        <v>11</v>
      </c>
      <c r="M12" s="635" t="s">
        <v>35</v>
      </c>
      <c r="N12" s="665">
        <v>1</v>
      </c>
      <c r="O12" s="62" t="s">
        <v>13</v>
      </c>
      <c r="P12" s="8">
        <v>1552</v>
      </c>
      <c r="Q12" s="8">
        <v>3232</v>
      </c>
      <c r="R12" s="8">
        <v>4784</v>
      </c>
      <c r="S12" s="106">
        <v>32.441471999999997</v>
      </c>
      <c r="T12" s="667">
        <f>AVERAGE(S12:S13)</f>
        <v>35.4784875</v>
      </c>
      <c r="V12" s="646"/>
      <c r="W12" s="88" t="s">
        <v>68</v>
      </c>
      <c r="X12" s="98" t="s">
        <v>67</v>
      </c>
      <c r="Y12" s="56" t="s">
        <v>68</v>
      </c>
      <c r="Z12" s="98" t="s">
        <v>67</v>
      </c>
    </row>
    <row r="13" spans="1:28" x14ac:dyDescent="0.25">
      <c r="B13" s="645"/>
      <c r="C13" s="657"/>
      <c r="D13" s="666"/>
      <c r="E13" s="60" t="s">
        <v>14</v>
      </c>
      <c r="F13">
        <v>4722</v>
      </c>
      <c r="G13">
        <v>7863</v>
      </c>
      <c r="H13">
        <v>12585</v>
      </c>
      <c r="I13" s="45">
        <v>37.520857999999997</v>
      </c>
      <c r="J13" s="668"/>
      <c r="K13" s="45"/>
      <c r="L13" s="645"/>
      <c r="M13" s="657"/>
      <c r="N13" s="666"/>
      <c r="O13" s="60" t="s">
        <v>14</v>
      </c>
      <c r="P13">
        <v>4447</v>
      </c>
      <c r="Q13">
        <v>7099</v>
      </c>
      <c r="R13">
        <v>11546</v>
      </c>
      <c r="S13" s="45">
        <v>38.515503000000002</v>
      </c>
      <c r="T13" s="668"/>
      <c r="V13" s="80" t="s">
        <v>64</v>
      </c>
      <c r="W13" s="432">
        <f>TTEST(I3:I10,I12:I19,1,2)</f>
        <v>2.6357619121953484E-2</v>
      </c>
      <c r="X13" s="433">
        <f>TTEST(J3:J10,J12:J19,1,2)</f>
        <v>7.58228912409602E-2</v>
      </c>
      <c r="Y13" s="131">
        <f>TTEST(S12:S19,S3:S10,1,2)</f>
        <v>0.13511158862711681</v>
      </c>
      <c r="Z13" s="433">
        <f>TTEST(T12:T19,T3:T10,1,2)</f>
        <v>0.1772905055029507</v>
      </c>
    </row>
    <row r="14" spans="1:28" x14ac:dyDescent="0.25">
      <c r="B14" s="645"/>
      <c r="C14" s="657"/>
      <c r="D14" s="666">
        <v>2</v>
      </c>
      <c r="E14" s="60" t="s">
        <v>13</v>
      </c>
      <c r="F14">
        <v>2248</v>
      </c>
      <c r="G14">
        <v>5783</v>
      </c>
      <c r="H14">
        <v>8031</v>
      </c>
      <c r="I14" s="104">
        <v>27.991533</v>
      </c>
      <c r="J14" s="668">
        <f>AVERAGE(I14:I15)</f>
        <v>27.620927864999999</v>
      </c>
      <c r="K14" s="45"/>
      <c r="L14" s="645"/>
      <c r="M14" s="657"/>
      <c r="N14" s="666">
        <v>2</v>
      </c>
      <c r="O14" s="60" t="s">
        <v>13</v>
      </c>
      <c r="P14">
        <v>1204</v>
      </c>
      <c r="Q14">
        <v>2067</v>
      </c>
      <c r="R14">
        <v>3271</v>
      </c>
      <c r="S14" s="45">
        <v>36.808315</v>
      </c>
      <c r="T14" s="668">
        <f>AVERAGE(S14:S15)</f>
        <v>29.521364500000001</v>
      </c>
      <c r="V14" s="80" t="s">
        <v>65</v>
      </c>
      <c r="W14" s="432">
        <f>TTEST(I12:I19,I21:I28,1,2)</f>
        <v>0.43520827512382521</v>
      </c>
      <c r="X14" s="433">
        <f>TTEST(J12:J19,J21:J28,1,2)</f>
        <v>0.44343725542896067</v>
      </c>
      <c r="Y14" s="131">
        <f>TTEST(S12:S19,S21:S27,1,2)</f>
        <v>0.10503802592722604</v>
      </c>
      <c r="Z14" s="433">
        <f>TTEST(T12:T19,T21:T25,1,2)</f>
        <v>8.550347656929623E-2</v>
      </c>
    </row>
    <row r="15" spans="1:28" x14ac:dyDescent="0.25">
      <c r="B15" s="645"/>
      <c r="C15" s="657"/>
      <c r="D15" s="666"/>
      <c r="E15" s="60" t="s">
        <v>14</v>
      </c>
      <c r="F15">
        <v>2322</v>
      </c>
      <c r="G15">
        <v>6599</v>
      </c>
      <c r="H15">
        <v>8821</v>
      </c>
      <c r="I15" s="45">
        <v>27.250322730000001</v>
      </c>
      <c r="J15" s="668"/>
      <c r="K15" s="45"/>
      <c r="L15" s="645"/>
      <c r="M15" s="657"/>
      <c r="N15" s="666"/>
      <c r="O15" s="60" t="s">
        <v>14</v>
      </c>
      <c r="P15">
        <v>2229</v>
      </c>
      <c r="Q15">
        <v>7796</v>
      </c>
      <c r="R15">
        <v>10025</v>
      </c>
      <c r="S15" s="45">
        <v>22.234414000000001</v>
      </c>
      <c r="T15" s="668"/>
      <c r="V15" s="80" t="s">
        <v>66</v>
      </c>
      <c r="W15" s="432">
        <f>TTEST(I3:I10,I21:I28,1,2)</f>
        <v>2.8714888439092062E-2</v>
      </c>
      <c r="X15" s="433">
        <f>TTEST(J3:J10,J21:J28,1,2)</f>
        <v>6.1790306313298474E-2</v>
      </c>
      <c r="Y15" s="131">
        <f>TTEST(S3:S10,S21:S27,1,2)</f>
        <v>4.9557631170550745E-2</v>
      </c>
      <c r="Z15" s="433">
        <f>TTEST(T3:T10,T21:T27,1,2)</f>
        <v>7.8900879169602034E-2</v>
      </c>
    </row>
    <row r="16" spans="1:28" ht="15.75" thickBot="1" x14ac:dyDescent="0.3">
      <c r="B16" s="645"/>
      <c r="C16" s="657"/>
      <c r="D16" s="666">
        <v>3</v>
      </c>
      <c r="E16" s="60" t="s">
        <v>13</v>
      </c>
      <c r="F16">
        <v>1454</v>
      </c>
      <c r="G16">
        <v>4439</v>
      </c>
      <c r="H16">
        <v>5893</v>
      </c>
      <c r="I16" s="45">
        <v>24.67334125</v>
      </c>
      <c r="J16" s="668">
        <f>AVERAGE(I16:I17)</f>
        <v>23.132447624999998</v>
      </c>
      <c r="K16" s="45"/>
      <c r="L16" s="645"/>
      <c r="M16" s="657"/>
      <c r="N16" s="666">
        <v>3</v>
      </c>
      <c r="O16" s="60" t="s">
        <v>13</v>
      </c>
      <c r="P16">
        <v>1433</v>
      </c>
      <c r="Q16">
        <v>2951</v>
      </c>
      <c r="R16">
        <v>4384</v>
      </c>
      <c r="S16" s="45">
        <v>32.687044</v>
      </c>
      <c r="T16" s="668">
        <f>AVERAGE(S16:S17)</f>
        <v>31.410862000000002</v>
      </c>
      <c r="V16" s="81" t="s">
        <v>71</v>
      </c>
      <c r="W16" s="434">
        <f>TTEST(I30:I37,I21:I28,1,2)</f>
        <v>5.4432256067944482E-2</v>
      </c>
      <c r="X16" s="435">
        <f>TTEST(J30:J37,J21:J28,1,2)</f>
        <v>7.641067872529117E-2</v>
      </c>
      <c r="Y16" s="142">
        <f>TTEST(S29:S39,S21:S25,1,2)</f>
        <v>3.6581410743964628E-2</v>
      </c>
      <c r="Z16" s="435">
        <f>TTEST(T29:T39,T21:T25,1,2)</f>
        <v>2.6778363941524424E-2</v>
      </c>
    </row>
    <row r="17" spans="2:24" ht="15.75" thickBot="1" x14ac:dyDescent="0.3">
      <c r="B17" s="645"/>
      <c r="C17" s="657"/>
      <c r="D17" s="666"/>
      <c r="E17" s="60" t="s">
        <v>14</v>
      </c>
      <c r="F17">
        <v>1902</v>
      </c>
      <c r="G17">
        <v>6907</v>
      </c>
      <c r="H17">
        <v>8809</v>
      </c>
      <c r="I17" s="45">
        <v>21.591553999999999</v>
      </c>
      <c r="J17" s="668"/>
      <c r="K17" s="45"/>
      <c r="L17" s="645"/>
      <c r="M17" s="657"/>
      <c r="N17" s="666"/>
      <c r="O17" s="60" t="s">
        <v>14</v>
      </c>
      <c r="P17">
        <v>3043</v>
      </c>
      <c r="Q17">
        <v>7055</v>
      </c>
      <c r="R17">
        <v>10098</v>
      </c>
      <c r="S17" s="104">
        <v>30.134679999999999</v>
      </c>
      <c r="T17" s="668"/>
    </row>
    <row r="18" spans="2:24" x14ac:dyDescent="0.25">
      <c r="B18" s="645"/>
      <c r="C18" s="657"/>
      <c r="D18" s="666">
        <v>4</v>
      </c>
      <c r="E18" s="60" t="s">
        <v>13</v>
      </c>
      <c r="F18">
        <v>2202</v>
      </c>
      <c r="G18">
        <v>4760</v>
      </c>
      <c r="H18">
        <v>6962</v>
      </c>
      <c r="I18" s="45">
        <v>31.628841999999999</v>
      </c>
      <c r="J18" s="668">
        <f>AVERAGE(I18:I19)</f>
        <v>29.816784499999997</v>
      </c>
      <c r="K18" s="45"/>
      <c r="L18" s="645"/>
      <c r="M18" s="657"/>
      <c r="N18" s="666">
        <v>4</v>
      </c>
      <c r="O18" s="60" t="s">
        <v>13</v>
      </c>
      <c r="P18">
        <v>1865</v>
      </c>
      <c r="Q18">
        <v>4678</v>
      </c>
      <c r="R18">
        <v>6543</v>
      </c>
      <c r="S18" s="45">
        <v>28.503744000000001</v>
      </c>
      <c r="T18" s="668">
        <f>AVERAGE(S18:S19)</f>
        <v>30.556775000000002</v>
      </c>
      <c r="U18" s="45"/>
      <c r="V18" s="644" t="s">
        <v>77</v>
      </c>
      <c r="W18" s="640" t="s">
        <v>69</v>
      </c>
      <c r="X18" s="637"/>
    </row>
    <row r="19" spans="2:24" ht="15.75" thickBot="1" x14ac:dyDescent="0.3">
      <c r="B19" s="645"/>
      <c r="C19" s="657"/>
      <c r="D19" s="673"/>
      <c r="E19" s="61" t="s">
        <v>14</v>
      </c>
      <c r="F19" s="3">
        <v>1659</v>
      </c>
      <c r="G19" s="3">
        <v>4265</v>
      </c>
      <c r="H19" s="3">
        <v>5924</v>
      </c>
      <c r="I19" s="83">
        <v>28.004726999999999</v>
      </c>
      <c r="J19" s="674"/>
      <c r="K19" s="45"/>
      <c r="L19" s="645"/>
      <c r="M19" s="657"/>
      <c r="N19" s="673"/>
      <c r="O19" s="61" t="s">
        <v>14</v>
      </c>
      <c r="P19" s="3">
        <v>2554</v>
      </c>
      <c r="Q19" s="3">
        <v>5278</v>
      </c>
      <c r="R19" s="3">
        <v>7832</v>
      </c>
      <c r="S19" s="83">
        <v>32.609805999999999</v>
      </c>
      <c r="T19" s="674"/>
      <c r="U19" s="45"/>
      <c r="V19" s="646"/>
      <c r="W19" s="88" t="s">
        <v>68</v>
      </c>
      <c r="X19" s="98" t="s">
        <v>67</v>
      </c>
    </row>
    <row r="20" spans="2:24" ht="16.5" thickTop="1" thickBot="1" x14ac:dyDescent="0.3">
      <c r="B20" s="646"/>
      <c r="C20" s="636"/>
      <c r="D20" s="677" t="s">
        <v>2</v>
      </c>
      <c r="E20" s="678"/>
      <c r="F20" s="65">
        <f>AVERAGE(F12:F19)</f>
        <v>2478.625</v>
      </c>
      <c r="G20" s="65">
        <f>AVERAGE(G12:G19)</f>
        <v>5831.125</v>
      </c>
      <c r="H20" s="75">
        <f>AVERAGE(H12:H19)</f>
        <v>8297.25</v>
      </c>
      <c r="I20" s="663">
        <f>AVERAGE(I12:I19)</f>
        <v>29.2697262475</v>
      </c>
      <c r="J20" s="664"/>
      <c r="K20" s="45"/>
      <c r="L20" s="646"/>
      <c r="M20" s="636"/>
      <c r="N20" s="651" t="s">
        <v>2</v>
      </c>
      <c r="O20" s="653"/>
      <c r="P20" s="65">
        <f>AVERAGE(P12:P19)</f>
        <v>2290.875</v>
      </c>
      <c r="Q20" s="65">
        <f>AVERAGE(Q12:Q19)</f>
        <v>5019.5</v>
      </c>
      <c r="R20" s="75">
        <f>AVERAGE(R12:R19)</f>
        <v>7310.375</v>
      </c>
      <c r="S20" s="663">
        <f>AVERAGE(T12:T19)</f>
        <v>31.741872250000004</v>
      </c>
      <c r="T20" s="664"/>
      <c r="U20" s="45"/>
      <c r="V20" s="80" t="s">
        <v>26</v>
      </c>
      <c r="W20" s="91">
        <f>TTEST(I3:I10,S3:S10,1,2)</f>
        <v>0.4588311172424594</v>
      </c>
      <c r="X20" s="99">
        <f>TTEST(J3:J10,T3:T10,1,2)</f>
        <v>0.46664468761665245</v>
      </c>
    </row>
    <row r="21" spans="2:24" x14ac:dyDescent="0.25">
      <c r="B21" s="645" t="s">
        <v>12</v>
      </c>
      <c r="C21" s="657" t="s">
        <v>51</v>
      </c>
      <c r="D21" s="669">
        <v>1</v>
      </c>
      <c r="E21" s="60" t="s">
        <v>13</v>
      </c>
      <c r="F21">
        <v>1543</v>
      </c>
      <c r="G21">
        <v>3920</v>
      </c>
      <c r="H21">
        <v>5463</v>
      </c>
      <c r="I21" s="105">
        <v>28.244554000000001</v>
      </c>
      <c r="J21" s="668">
        <f>AVERAGE(I21:I22)</f>
        <v>34.669424500000005</v>
      </c>
      <c r="K21" s="45"/>
      <c r="L21" s="627" t="s">
        <v>12</v>
      </c>
      <c r="M21" s="635" t="s">
        <v>28</v>
      </c>
      <c r="N21" s="665">
        <v>1</v>
      </c>
      <c r="O21" s="403" t="s">
        <v>13</v>
      </c>
      <c r="P21" s="8">
        <v>3044</v>
      </c>
      <c r="Q21" s="8">
        <v>5498</v>
      </c>
      <c r="R21" s="8">
        <v>8542</v>
      </c>
      <c r="S21" s="84">
        <v>37.977054549999998</v>
      </c>
      <c r="T21" s="667">
        <f>AVERAGE(S21:S22)</f>
        <v>36.900717775000004</v>
      </c>
      <c r="U21" s="45"/>
      <c r="V21" s="80" t="s">
        <v>11</v>
      </c>
      <c r="W21" s="91">
        <f>TTEST(I12:I19,S12:S19,1,2)</f>
        <v>0.17841698279075968</v>
      </c>
      <c r="X21" s="99">
        <f>TTEST(J12:J19,T12:T19,1,2)</f>
        <v>0.22607211375841824</v>
      </c>
    </row>
    <row r="22" spans="2:24" x14ac:dyDescent="0.25">
      <c r="B22" s="645"/>
      <c r="C22" s="657"/>
      <c r="D22" s="669"/>
      <c r="E22" s="60" t="s">
        <v>14</v>
      </c>
      <c r="F22">
        <v>1616</v>
      </c>
      <c r="G22">
        <v>2223</v>
      </c>
      <c r="H22">
        <v>3839</v>
      </c>
      <c r="I22">
        <v>41.094295000000002</v>
      </c>
      <c r="J22" s="668"/>
      <c r="K22" s="45"/>
      <c r="L22" s="628"/>
      <c r="M22" s="657"/>
      <c r="N22" s="666"/>
      <c r="O22" s="63" t="s">
        <v>14</v>
      </c>
      <c r="P22">
        <v>1534</v>
      </c>
      <c r="Q22">
        <v>2748</v>
      </c>
      <c r="R22">
        <v>4282</v>
      </c>
      <c r="S22" s="45">
        <v>35.824381000000002</v>
      </c>
      <c r="T22" s="668"/>
      <c r="U22" s="45"/>
      <c r="V22" s="80" t="s">
        <v>12</v>
      </c>
      <c r="W22" s="91">
        <f>TTEST(I21:I28,S21:S27,1,2)</f>
        <v>0.23372003957949705</v>
      </c>
      <c r="X22" s="99">
        <f>TTEST(J21:J28,T21:T27,1,2)</f>
        <v>0.21083862060935535</v>
      </c>
    </row>
    <row r="23" spans="2:24" ht="15.75" thickBot="1" x14ac:dyDescent="0.3">
      <c r="B23" s="645"/>
      <c r="C23" s="657"/>
      <c r="D23" s="669">
        <v>2</v>
      </c>
      <c r="E23" s="60" t="s">
        <v>13</v>
      </c>
      <c r="F23">
        <v>1115</v>
      </c>
      <c r="G23">
        <v>1970</v>
      </c>
      <c r="H23">
        <v>3085</v>
      </c>
      <c r="I23">
        <v>36.142626</v>
      </c>
      <c r="J23" s="668">
        <f>AVERAGE(I23:I24)</f>
        <v>30.151480499999998</v>
      </c>
      <c r="K23" s="45"/>
      <c r="L23" s="628"/>
      <c r="M23" s="657"/>
      <c r="N23" s="666">
        <v>2</v>
      </c>
      <c r="O23" s="63" t="s">
        <v>13</v>
      </c>
      <c r="P23">
        <v>401</v>
      </c>
      <c r="Q23">
        <v>4724</v>
      </c>
      <c r="R23">
        <v>5125</v>
      </c>
      <c r="S23" s="45">
        <v>7.8243900000000002</v>
      </c>
      <c r="T23" s="668">
        <f>AVERAGE(S23:S24)</f>
        <v>14.6857375</v>
      </c>
      <c r="U23" s="45"/>
      <c r="V23" s="81" t="s">
        <v>78</v>
      </c>
      <c r="W23" s="97">
        <f>TTEST(I30:I37,S29:S39,1,2)</f>
        <v>0.40196790569059948</v>
      </c>
      <c r="X23" s="100">
        <f>TTEST(J30:J37,T29:T39,1,2)</f>
        <v>0.45151769621623733</v>
      </c>
    </row>
    <row r="24" spans="2:24" x14ac:dyDescent="0.25">
      <c r="B24" s="645"/>
      <c r="C24" s="657"/>
      <c r="D24" s="669"/>
      <c r="E24" s="60" t="s">
        <v>14</v>
      </c>
      <c r="F24">
        <v>2194</v>
      </c>
      <c r="G24">
        <v>6887</v>
      </c>
      <c r="H24">
        <v>9081</v>
      </c>
      <c r="I24">
        <v>24.160335</v>
      </c>
      <c r="J24" s="668"/>
      <c r="K24" s="45"/>
      <c r="L24" s="628"/>
      <c r="M24" s="657"/>
      <c r="N24" s="666"/>
      <c r="O24" s="63" t="s">
        <v>14</v>
      </c>
      <c r="P24">
        <v>961</v>
      </c>
      <c r="Q24">
        <v>3499</v>
      </c>
      <c r="R24">
        <v>4460</v>
      </c>
      <c r="S24" s="104">
        <v>21.547084999999999</v>
      </c>
      <c r="T24" s="668"/>
      <c r="U24" s="45"/>
    </row>
    <row r="25" spans="2:24" x14ac:dyDescent="0.25">
      <c r="B25" s="645"/>
      <c r="C25" s="657"/>
      <c r="D25" s="669">
        <v>3</v>
      </c>
      <c r="E25" s="60" t="s">
        <v>13</v>
      </c>
      <c r="F25">
        <v>988</v>
      </c>
      <c r="G25">
        <v>4211</v>
      </c>
      <c r="H25">
        <v>5199</v>
      </c>
      <c r="I25">
        <v>19.003654999999998</v>
      </c>
      <c r="J25" s="668">
        <f>AVERAGE(I25:I26)</f>
        <v>26.109253000000002</v>
      </c>
      <c r="K25" s="45"/>
      <c r="L25" s="628"/>
      <c r="M25" s="658"/>
      <c r="N25" s="298">
        <v>3</v>
      </c>
      <c r="O25" s="402" t="s">
        <v>13</v>
      </c>
      <c r="P25" s="162">
        <v>2</v>
      </c>
      <c r="Q25" s="162">
        <v>2424</v>
      </c>
      <c r="R25" s="162">
        <v>2426</v>
      </c>
      <c r="S25" s="296">
        <v>8.2439999999999999E-2</v>
      </c>
      <c r="T25" s="404">
        <v>8.2439999999999999E-2</v>
      </c>
      <c r="U25" s="45"/>
    </row>
    <row r="26" spans="2:24" x14ac:dyDescent="0.25">
      <c r="B26" s="645"/>
      <c r="C26" s="657"/>
      <c r="D26" s="669"/>
      <c r="E26" s="60" t="s">
        <v>14</v>
      </c>
      <c r="F26">
        <v>1442</v>
      </c>
      <c r="G26">
        <v>2889</v>
      </c>
      <c r="H26">
        <v>4331</v>
      </c>
      <c r="I26">
        <v>33.214851000000003</v>
      </c>
      <c r="J26" s="668"/>
      <c r="K26" s="45"/>
      <c r="L26" s="628"/>
      <c r="M26" s="680" t="s">
        <v>210</v>
      </c>
      <c r="N26" s="675">
        <v>1</v>
      </c>
      <c r="O26" s="297" t="s">
        <v>13</v>
      </c>
      <c r="P26" s="268">
        <v>1460</v>
      </c>
      <c r="Q26" s="268">
        <v>4341</v>
      </c>
      <c r="R26" s="268">
        <v>5801</v>
      </c>
      <c r="S26" s="268">
        <v>25.168074470000001</v>
      </c>
      <c r="T26" s="676">
        <f>AVERAGE(S26:S27)</f>
        <v>32.786326114600001</v>
      </c>
    </row>
    <row r="27" spans="2:24" ht="15.75" thickBot="1" x14ac:dyDescent="0.3">
      <c r="B27" s="645"/>
      <c r="C27" s="657"/>
      <c r="D27" s="669">
        <v>4</v>
      </c>
      <c r="E27" s="60" t="s">
        <v>13</v>
      </c>
      <c r="F27">
        <v>1173</v>
      </c>
      <c r="G27">
        <v>3376</v>
      </c>
      <c r="H27">
        <v>4549</v>
      </c>
      <c r="I27">
        <v>25.785886999999999</v>
      </c>
      <c r="J27" s="668">
        <f>AVERAGE(I27:I28)</f>
        <v>23.982348235</v>
      </c>
      <c r="K27" s="45"/>
      <c r="L27" s="628"/>
      <c r="M27" s="681"/>
      <c r="N27" s="673"/>
      <c r="O27" s="64" t="s">
        <v>14</v>
      </c>
      <c r="P27" s="3">
        <v>3871</v>
      </c>
      <c r="Q27" s="3">
        <v>5697</v>
      </c>
      <c r="R27" s="3">
        <v>9568</v>
      </c>
      <c r="S27" s="3">
        <v>40.404577759200002</v>
      </c>
      <c r="T27" s="679"/>
    </row>
    <row r="28" spans="2:24" ht="16.5" thickTop="1" thickBot="1" x14ac:dyDescent="0.3">
      <c r="B28" s="645"/>
      <c r="C28" s="657"/>
      <c r="D28" s="682"/>
      <c r="E28" s="61" t="s">
        <v>14</v>
      </c>
      <c r="F28" s="74">
        <v>965</v>
      </c>
      <c r="G28" s="3">
        <v>3386</v>
      </c>
      <c r="H28" s="3">
        <v>4351</v>
      </c>
      <c r="I28" s="3">
        <v>22.178809470000001</v>
      </c>
      <c r="J28" s="674"/>
      <c r="K28" s="45"/>
      <c r="L28" s="629"/>
      <c r="M28" s="683" t="s">
        <v>2</v>
      </c>
      <c r="N28" s="684"/>
      <c r="O28" s="639"/>
      <c r="P28" s="65">
        <f>AVERAGE(P21:P25)</f>
        <v>1188.4000000000001</v>
      </c>
      <c r="Q28" s="65">
        <f>AVERAGE(Q21:Q25)</f>
        <v>3778.6</v>
      </c>
      <c r="R28" s="6">
        <f>AVERAGE(R21:R25)</f>
        <v>4967</v>
      </c>
      <c r="S28" s="654">
        <f>AVERAGE(T21:T27)</f>
        <v>21.113805347400003</v>
      </c>
      <c r="T28" s="655"/>
    </row>
    <row r="29" spans="2:24" ht="16.5" thickTop="1" thickBot="1" x14ac:dyDescent="0.3">
      <c r="B29" s="646"/>
      <c r="C29" s="636"/>
      <c r="D29" s="685" t="s">
        <v>2</v>
      </c>
      <c r="E29" s="685"/>
      <c r="F29" s="6">
        <f>AVERAGE(F21:F28)</f>
        <v>1379.5</v>
      </c>
      <c r="G29" s="65">
        <f>AVERAGE(G21:G28)</f>
        <v>3607.75</v>
      </c>
      <c r="H29" s="65">
        <f>AVERAGE(H21:H28)</f>
        <v>4987.25</v>
      </c>
      <c r="I29" s="663">
        <f>AVERAGE(I21:I28)</f>
        <v>28.728126558750006</v>
      </c>
      <c r="J29" s="664"/>
      <c r="K29" s="45"/>
      <c r="L29" s="644" t="s">
        <v>37</v>
      </c>
      <c r="M29" s="635" t="s">
        <v>113</v>
      </c>
      <c r="N29" s="659">
        <v>1</v>
      </c>
      <c r="O29" s="113" t="s">
        <v>13</v>
      </c>
      <c r="P29" s="114">
        <v>3780</v>
      </c>
      <c r="Q29" s="114">
        <v>9276</v>
      </c>
      <c r="R29" s="114">
        <v>10831</v>
      </c>
      <c r="S29" s="115">
        <f>P29/R29*100</f>
        <v>34.899824577601329</v>
      </c>
      <c r="T29" s="661">
        <f>AVERAGE(S29:S30)</f>
        <v>25.822521104991406</v>
      </c>
    </row>
    <row r="30" spans="2:24" x14ac:dyDescent="0.25">
      <c r="B30" s="644" t="s">
        <v>36</v>
      </c>
      <c r="C30" s="635" t="s">
        <v>50</v>
      </c>
      <c r="D30" s="665">
        <v>1</v>
      </c>
      <c r="E30" s="62" t="s">
        <v>13</v>
      </c>
      <c r="F30" s="8">
        <v>3885</v>
      </c>
      <c r="G30" s="8">
        <v>3899</v>
      </c>
      <c r="H30" s="8">
        <v>7784</v>
      </c>
      <c r="I30" s="84">
        <v>49.910072</v>
      </c>
      <c r="J30" s="667">
        <f>AVERAGE(I30:I31)</f>
        <v>40.276628000000002</v>
      </c>
      <c r="L30" s="645"/>
      <c r="M30" s="657"/>
      <c r="N30" s="660"/>
      <c r="O30" s="116" t="s">
        <v>14</v>
      </c>
      <c r="P30" s="111">
        <v>1208</v>
      </c>
      <c r="Q30" s="111">
        <v>5381</v>
      </c>
      <c r="R30" s="111">
        <v>7214</v>
      </c>
      <c r="S30" s="117">
        <f>P30/R30*100</f>
        <v>16.745217632381483</v>
      </c>
      <c r="T30" s="662"/>
    </row>
    <row r="31" spans="2:24" x14ac:dyDescent="0.25">
      <c r="B31" s="645"/>
      <c r="C31" s="657"/>
      <c r="D31" s="666"/>
      <c r="E31" s="60" t="s">
        <v>14</v>
      </c>
      <c r="F31">
        <v>2749</v>
      </c>
      <c r="G31">
        <v>6222</v>
      </c>
      <c r="H31">
        <v>8971</v>
      </c>
      <c r="I31" s="45">
        <v>30.643184000000002</v>
      </c>
      <c r="J31" s="668"/>
      <c r="L31" s="645"/>
      <c r="M31" s="657"/>
      <c r="N31" s="669">
        <v>2</v>
      </c>
      <c r="O31" s="60" t="s">
        <v>13</v>
      </c>
      <c r="P31" s="79">
        <v>1766</v>
      </c>
      <c r="Q31">
        <v>4336</v>
      </c>
      <c r="R31">
        <v>6216</v>
      </c>
      <c r="S31" s="45">
        <f>P31/R31*100</f>
        <v>28.410553410553412</v>
      </c>
      <c r="T31" s="668">
        <f>AVERAGE(S31:S32)</f>
        <v>38.877128917235865</v>
      </c>
    </row>
    <row r="32" spans="2:24" x14ac:dyDescent="0.25">
      <c r="B32" s="645"/>
      <c r="C32" s="657"/>
      <c r="D32" s="666">
        <v>2</v>
      </c>
      <c r="E32" s="60" t="s">
        <v>13</v>
      </c>
      <c r="F32">
        <v>1234</v>
      </c>
      <c r="G32">
        <v>3593</v>
      </c>
      <c r="H32">
        <v>4827</v>
      </c>
      <c r="I32" s="45">
        <v>26.564533000000001</v>
      </c>
      <c r="J32" s="668">
        <f>AVERAGE(I32:I33)</f>
        <v>26.4378165</v>
      </c>
      <c r="L32" s="645"/>
      <c r="M32" s="658"/>
      <c r="N32" s="670"/>
      <c r="O32" s="54" t="s">
        <v>14</v>
      </c>
      <c r="P32" s="138">
        <v>4060</v>
      </c>
      <c r="Q32" s="162">
        <v>5934</v>
      </c>
      <c r="R32" s="162">
        <v>8228</v>
      </c>
      <c r="S32" s="296">
        <f>P32/R32*100</f>
        <v>49.343704423918325</v>
      </c>
      <c r="T32" s="671"/>
    </row>
    <row r="33" spans="2:20" x14ac:dyDescent="0.25">
      <c r="B33" s="645"/>
      <c r="C33" s="657"/>
      <c r="D33" s="666"/>
      <c r="E33" s="60" t="s">
        <v>14</v>
      </c>
      <c r="F33">
        <v>1467</v>
      </c>
      <c r="G33">
        <v>4375</v>
      </c>
      <c r="H33">
        <v>5842</v>
      </c>
      <c r="I33" s="45">
        <v>26.3111</v>
      </c>
      <c r="J33" s="668"/>
      <c r="L33" s="645"/>
      <c r="M33" s="657" t="s">
        <v>154</v>
      </c>
      <c r="N33" s="669">
        <v>1</v>
      </c>
      <c r="O33" s="297" t="s">
        <v>13</v>
      </c>
      <c r="P33">
        <v>2181</v>
      </c>
      <c r="Q33">
        <v>5180</v>
      </c>
      <c r="R33">
        <v>7361</v>
      </c>
      <c r="S33">
        <v>29.629125999999999</v>
      </c>
      <c r="T33" s="672">
        <f>AVERAGE(S33:S34)</f>
        <v>40.581780999999999</v>
      </c>
    </row>
    <row r="34" spans="2:20" x14ac:dyDescent="0.25">
      <c r="B34" s="645"/>
      <c r="C34" s="657"/>
      <c r="D34" s="666">
        <v>3</v>
      </c>
      <c r="E34" s="60" t="s">
        <v>13</v>
      </c>
      <c r="F34">
        <v>928</v>
      </c>
      <c r="G34">
        <v>2536</v>
      </c>
      <c r="H34">
        <v>3464</v>
      </c>
      <c r="I34" s="45">
        <v>26.789838</v>
      </c>
      <c r="J34" s="668">
        <f>AVERAGE(I34:I35)</f>
        <v>33.784050999999998</v>
      </c>
      <c r="L34" s="645"/>
      <c r="M34" s="657"/>
      <c r="N34" s="669"/>
      <c r="O34" s="63" t="s">
        <v>14</v>
      </c>
      <c r="P34">
        <v>3644</v>
      </c>
      <c r="Q34">
        <v>3427</v>
      </c>
      <c r="R34">
        <v>7071</v>
      </c>
      <c r="S34">
        <v>51.534435999999999</v>
      </c>
      <c r="T34" s="672"/>
    </row>
    <row r="35" spans="2:20" x14ac:dyDescent="0.25">
      <c r="B35" s="645"/>
      <c r="C35" s="657"/>
      <c r="D35" s="666"/>
      <c r="E35" s="60" t="s">
        <v>14</v>
      </c>
      <c r="F35">
        <v>1771</v>
      </c>
      <c r="G35">
        <v>2572</v>
      </c>
      <c r="H35">
        <v>4343</v>
      </c>
      <c r="I35" s="104">
        <v>40.778264</v>
      </c>
      <c r="J35" s="668"/>
      <c r="L35" s="645"/>
      <c r="M35" s="658"/>
      <c r="N35" s="298">
        <v>2</v>
      </c>
      <c r="O35" s="402" t="s">
        <v>13</v>
      </c>
      <c r="P35" s="162">
        <v>3283</v>
      </c>
      <c r="Q35" s="162">
        <v>4751</v>
      </c>
      <c r="R35" s="162">
        <v>8034</v>
      </c>
      <c r="S35" s="162">
        <v>40.863829000000003</v>
      </c>
      <c r="T35" s="405">
        <f>AVERAGE(S35)</f>
        <v>40.863829000000003</v>
      </c>
    </row>
    <row r="36" spans="2:20" x14ac:dyDescent="0.25">
      <c r="B36" s="645"/>
      <c r="C36" s="657"/>
      <c r="D36" s="666">
        <v>4</v>
      </c>
      <c r="E36" s="60" t="s">
        <v>13</v>
      </c>
      <c r="F36">
        <v>1783</v>
      </c>
      <c r="G36">
        <v>1979</v>
      </c>
      <c r="H36">
        <v>3762</v>
      </c>
      <c r="I36" s="45">
        <v>47.395003000000003</v>
      </c>
      <c r="J36" s="668">
        <f>AVERAGE(I36:I37)</f>
        <v>44.272301499999998</v>
      </c>
      <c r="L36" s="645"/>
      <c r="M36" s="675" t="s">
        <v>210</v>
      </c>
      <c r="N36" s="675">
        <v>1</v>
      </c>
      <c r="O36" s="297" t="s">
        <v>13</v>
      </c>
      <c r="P36">
        <v>1999</v>
      </c>
      <c r="Q36">
        <v>8270</v>
      </c>
      <c r="R36">
        <v>10269</v>
      </c>
      <c r="S36">
        <v>19.466355</v>
      </c>
      <c r="T36" s="676">
        <f>AVERAGE(S36:S37)</f>
        <v>29.9126765</v>
      </c>
    </row>
    <row r="37" spans="2:20" ht="15.75" thickBot="1" x14ac:dyDescent="0.3">
      <c r="B37" s="645"/>
      <c r="C37" s="657"/>
      <c r="D37" s="673"/>
      <c r="E37" s="61" t="s">
        <v>14</v>
      </c>
      <c r="F37" s="3">
        <v>2162</v>
      </c>
      <c r="G37" s="3">
        <v>3092</v>
      </c>
      <c r="H37" s="3">
        <v>5254</v>
      </c>
      <c r="I37" s="83">
        <v>41.1496</v>
      </c>
      <c r="J37" s="674"/>
      <c r="L37" s="645"/>
      <c r="M37" s="666"/>
      <c r="N37" s="666"/>
      <c r="O37" s="63" t="s">
        <v>14</v>
      </c>
      <c r="P37">
        <v>3575</v>
      </c>
      <c r="Q37">
        <v>5283</v>
      </c>
      <c r="R37">
        <v>8858</v>
      </c>
      <c r="S37">
        <v>40.358998</v>
      </c>
      <c r="T37" s="672"/>
    </row>
    <row r="38" spans="2:20" ht="16.5" thickTop="1" thickBot="1" x14ac:dyDescent="0.3">
      <c r="B38" s="646"/>
      <c r="C38" s="636"/>
      <c r="D38" s="677" t="s">
        <v>2</v>
      </c>
      <c r="E38" s="678"/>
      <c r="F38" s="65">
        <f>AVERAGE(F30:F37)</f>
        <v>1997.375</v>
      </c>
      <c r="G38" s="65">
        <f>AVERAGE(G30:G37)</f>
        <v>3533.5</v>
      </c>
      <c r="H38" s="75">
        <f>AVERAGE(H30:H37)</f>
        <v>5530.875</v>
      </c>
      <c r="I38" s="663">
        <f>AVERAGE(I30:I37)</f>
        <v>36.192699250000004</v>
      </c>
      <c r="J38" s="664"/>
      <c r="L38" s="645"/>
      <c r="M38" s="666"/>
      <c r="N38" s="666">
        <v>2</v>
      </c>
      <c r="O38" s="63" t="s">
        <v>13</v>
      </c>
      <c r="P38" s="79">
        <v>3529</v>
      </c>
      <c r="Q38">
        <v>5820</v>
      </c>
      <c r="R38">
        <v>9349</v>
      </c>
      <c r="S38">
        <v>37.747352999999997</v>
      </c>
      <c r="T38" s="672">
        <f>AVERAGE(S38:S39)</f>
        <v>37.747352999999997</v>
      </c>
    </row>
    <row r="39" spans="2:20" ht="15.75" thickBot="1" x14ac:dyDescent="0.3">
      <c r="L39" s="645"/>
      <c r="M39" s="673"/>
      <c r="N39" s="673"/>
      <c r="O39" s="64" t="s">
        <v>14</v>
      </c>
      <c r="P39" s="74">
        <v>369</v>
      </c>
      <c r="Q39" s="3">
        <v>5908</v>
      </c>
      <c r="R39" s="3">
        <v>6277</v>
      </c>
      <c r="S39" s="3"/>
      <c r="T39" s="679"/>
    </row>
    <row r="40" spans="2:20" ht="16.5" thickTop="1" thickBot="1" x14ac:dyDescent="0.3">
      <c r="L40" s="646"/>
      <c r="M40" s="651" t="s">
        <v>2</v>
      </c>
      <c r="N40" s="652"/>
      <c r="O40" s="653"/>
      <c r="P40" s="65">
        <f>AVERAGE(P29:P35)</f>
        <v>2846</v>
      </c>
      <c r="Q40" s="65">
        <f>AVERAGE(Q29:Q35)</f>
        <v>5469.2857142857147</v>
      </c>
      <c r="R40" s="65">
        <f>AVERAGE(R29:R35)</f>
        <v>7850.7142857142853</v>
      </c>
      <c r="S40" s="654">
        <f>AVERAGE(S29:S39)</f>
        <v>34.899939704445451</v>
      </c>
      <c r="T40" s="655"/>
    </row>
    <row r="41" spans="2:20" x14ac:dyDescent="0.25">
      <c r="J41" s="45"/>
    </row>
    <row r="42" spans="2:20" x14ac:dyDescent="0.25">
      <c r="J42" s="45"/>
    </row>
    <row r="48" spans="2:20" ht="15.75" thickBot="1" x14ac:dyDescent="0.3"/>
    <row r="49" spans="2:28" ht="15.75" thickBot="1" x14ac:dyDescent="0.3">
      <c r="B49" s="686" t="s">
        <v>7</v>
      </c>
      <c r="C49" s="687"/>
      <c r="D49" s="687"/>
      <c r="E49" s="687"/>
      <c r="F49" s="687"/>
      <c r="G49" s="687"/>
      <c r="H49" s="687"/>
      <c r="I49" s="687"/>
      <c r="J49" s="688"/>
      <c r="K49" s="37"/>
      <c r="L49" s="686" t="s">
        <v>93</v>
      </c>
      <c r="M49" s="687"/>
      <c r="N49" s="687"/>
      <c r="O49" s="687"/>
      <c r="P49" s="687"/>
      <c r="Q49" s="687"/>
      <c r="R49" s="687"/>
      <c r="S49" s="687"/>
      <c r="T49" s="688"/>
    </row>
    <row r="50" spans="2:28" ht="30.75" thickBot="1" x14ac:dyDescent="0.3">
      <c r="B50" s="57" t="s">
        <v>8</v>
      </c>
      <c r="C50" s="58" t="s">
        <v>10</v>
      </c>
      <c r="D50" s="59" t="s">
        <v>54</v>
      </c>
      <c r="E50" s="58" t="s">
        <v>55</v>
      </c>
      <c r="F50" s="36" t="s">
        <v>6</v>
      </c>
      <c r="G50" s="36" t="s">
        <v>5</v>
      </c>
      <c r="H50" s="36" t="s">
        <v>3</v>
      </c>
      <c r="I50" s="36" t="s">
        <v>4</v>
      </c>
      <c r="J50" s="85" t="s">
        <v>79</v>
      </c>
      <c r="K50" s="37"/>
      <c r="L50" s="57" t="s">
        <v>8</v>
      </c>
      <c r="M50" s="58" t="s">
        <v>10</v>
      </c>
      <c r="N50" s="59" t="s">
        <v>54</v>
      </c>
      <c r="O50" s="58" t="s">
        <v>55</v>
      </c>
      <c r="P50" s="36" t="s">
        <v>6</v>
      </c>
      <c r="Q50" s="36" t="s">
        <v>5</v>
      </c>
      <c r="R50" s="36" t="s">
        <v>3</v>
      </c>
      <c r="S50" s="36" t="s">
        <v>4</v>
      </c>
      <c r="T50" s="85" t="s">
        <v>79</v>
      </c>
    </row>
    <row r="51" spans="2:28" x14ac:dyDescent="0.25">
      <c r="B51" s="645" t="s">
        <v>26</v>
      </c>
      <c r="C51" s="635" t="s">
        <v>24</v>
      </c>
      <c r="D51" s="666">
        <v>1</v>
      </c>
      <c r="E51" s="60" t="s">
        <v>13</v>
      </c>
      <c r="F51">
        <v>1822</v>
      </c>
      <c r="G51">
        <v>3035</v>
      </c>
      <c r="H51">
        <v>4857</v>
      </c>
      <c r="I51">
        <v>37.512867999999997</v>
      </c>
      <c r="J51" s="668">
        <f>AVERAGE(I51:I52)</f>
        <v>50.016752999999994</v>
      </c>
      <c r="K51" s="45"/>
      <c r="L51" s="644" t="s">
        <v>26</v>
      </c>
      <c r="M51" s="635" t="s">
        <v>34</v>
      </c>
      <c r="N51" s="665">
        <v>1</v>
      </c>
      <c r="O51" s="62" t="s">
        <v>13</v>
      </c>
      <c r="P51">
        <v>5113</v>
      </c>
      <c r="Q51">
        <v>1467</v>
      </c>
      <c r="R51">
        <v>6580</v>
      </c>
      <c r="S51">
        <v>77.705167000000003</v>
      </c>
      <c r="T51" s="667">
        <f>AVERAGE(S51:S52)</f>
        <v>77.30328750000001</v>
      </c>
      <c r="V51" s="647" t="s">
        <v>10</v>
      </c>
      <c r="W51" s="640" t="s">
        <v>42</v>
      </c>
      <c r="X51" s="634"/>
      <c r="Y51" s="634"/>
      <c r="Z51" s="640" t="s">
        <v>63</v>
      </c>
      <c r="AA51" s="634"/>
      <c r="AB51" s="637"/>
    </row>
    <row r="52" spans="2:28" ht="15.75" thickBot="1" x14ac:dyDescent="0.3">
      <c r="B52" s="645"/>
      <c r="C52" s="657"/>
      <c r="D52" s="666"/>
      <c r="E52" s="60" t="s">
        <v>14</v>
      </c>
      <c r="F52">
        <v>3408</v>
      </c>
      <c r="G52">
        <v>2043</v>
      </c>
      <c r="H52">
        <v>5451</v>
      </c>
      <c r="I52">
        <v>62.520637999999998</v>
      </c>
      <c r="J52" s="668"/>
      <c r="K52" s="45"/>
      <c r="L52" s="645"/>
      <c r="M52" s="657"/>
      <c r="N52" s="666"/>
      <c r="O52" s="60" t="s">
        <v>14</v>
      </c>
      <c r="P52">
        <v>3003</v>
      </c>
      <c r="Q52">
        <v>902</v>
      </c>
      <c r="R52">
        <v>3905</v>
      </c>
      <c r="S52">
        <v>76.901408000000004</v>
      </c>
      <c r="T52" s="668"/>
      <c r="V52" s="656"/>
      <c r="W52" s="33" t="s">
        <v>81</v>
      </c>
      <c r="X52" s="101" t="s">
        <v>82</v>
      </c>
      <c r="Y52" s="33" t="s">
        <v>83</v>
      </c>
      <c r="Z52" s="32" t="s">
        <v>81</v>
      </c>
      <c r="AA52" s="101" t="s">
        <v>82</v>
      </c>
      <c r="AB52" s="78" t="s">
        <v>83</v>
      </c>
    </row>
    <row r="53" spans="2:28" x14ac:dyDescent="0.25">
      <c r="B53" s="645"/>
      <c r="C53" s="657"/>
      <c r="D53" s="666">
        <v>2</v>
      </c>
      <c r="E53" s="60" t="s">
        <v>13</v>
      </c>
      <c r="F53">
        <v>3660</v>
      </c>
      <c r="G53">
        <v>5532</v>
      </c>
      <c r="H53">
        <v>9192</v>
      </c>
      <c r="I53">
        <v>39.817231999999997</v>
      </c>
      <c r="J53" s="668">
        <f>AVERAGE(I53:I54)</f>
        <v>44.389965000000004</v>
      </c>
      <c r="K53" s="45"/>
      <c r="L53" s="645"/>
      <c r="M53" s="657"/>
      <c r="N53" s="666">
        <v>2</v>
      </c>
      <c r="O53" s="60" t="s">
        <v>13</v>
      </c>
      <c r="P53">
        <v>4033</v>
      </c>
      <c r="Q53">
        <v>3337</v>
      </c>
      <c r="R53">
        <v>7370</v>
      </c>
      <c r="S53">
        <v>54.721845000000002</v>
      </c>
      <c r="T53" s="668">
        <f>AVERAGE(S53:S54)</f>
        <v>47.613844999999998</v>
      </c>
      <c r="V53" s="89" t="s">
        <v>26</v>
      </c>
      <c r="W53" s="45">
        <f>AVERAGE(J51:J58)</f>
        <v>58.269169124999998</v>
      </c>
      <c r="X53" s="102">
        <f>STDEV(J51:J58)</f>
        <v>13.369099614697793</v>
      </c>
      <c r="Y53">
        <v>4</v>
      </c>
      <c r="Z53" s="91">
        <f>AVERAGE(T51:T58)</f>
        <v>52.686287375000006</v>
      </c>
      <c r="AA53" s="102">
        <f>STDEV(T51:T58)</f>
        <v>16.863548805224205</v>
      </c>
      <c r="AB53" s="4">
        <v>4</v>
      </c>
    </row>
    <row r="54" spans="2:28" x14ac:dyDescent="0.25">
      <c r="B54" s="645"/>
      <c r="C54" s="657"/>
      <c r="D54" s="666"/>
      <c r="E54" s="60" t="s">
        <v>14</v>
      </c>
      <c r="F54">
        <v>4791</v>
      </c>
      <c r="G54">
        <v>4994</v>
      </c>
      <c r="H54">
        <v>9785</v>
      </c>
      <c r="I54">
        <v>48.962698000000003</v>
      </c>
      <c r="J54" s="668"/>
      <c r="K54" s="45"/>
      <c r="L54" s="645"/>
      <c r="M54" s="657"/>
      <c r="N54" s="666"/>
      <c r="O54" s="60" t="s">
        <v>14</v>
      </c>
      <c r="P54">
        <v>5301</v>
      </c>
      <c r="Q54">
        <v>7786</v>
      </c>
      <c r="R54">
        <v>13087</v>
      </c>
      <c r="S54">
        <v>40.505845000000001</v>
      </c>
      <c r="T54" s="668"/>
      <c r="V54" s="89" t="s">
        <v>11</v>
      </c>
      <c r="W54" s="45">
        <f>AVERAGE(J60:J67)</f>
        <v>49.065516000000002</v>
      </c>
      <c r="X54" s="102">
        <f>STDEV(J60:J67)</f>
        <v>7.6693453926043302</v>
      </c>
      <c r="Y54">
        <v>4</v>
      </c>
      <c r="Z54" s="91">
        <f>AVERAGE(T60:T67)</f>
        <v>51.70156575</v>
      </c>
      <c r="AA54" s="102">
        <f>STDEV(T60:T67)</f>
        <v>11.248170371316988</v>
      </c>
      <c r="AB54" s="4">
        <v>4</v>
      </c>
    </row>
    <row r="55" spans="2:28" x14ac:dyDescent="0.25">
      <c r="B55" s="645"/>
      <c r="C55" s="657"/>
      <c r="D55" s="666">
        <v>3</v>
      </c>
      <c r="E55" s="60" t="s">
        <v>13</v>
      </c>
      <c r="F55">
        <v>3441</v>
      </c>
      <c r="G55">
        <v>4007</v>
      </c>
      <c r="H55">
        <v>7448</v>
      </c>
      <c r="I55">
        <v>46.200322</v>
      </c>
      <c r="J55" s="668">
        <f>AVERAGE(I55:I56)</f>
        <v>65.426048000000009</v>
      </c>
      <c r="K55" s="45"/>
      <c r="L55" s="645"/>
      <c r="M55" s="657"/>
      <c r="N55" s="666">
        <v>3</v>
      </c>
      <c r="O55" s="60" t="s">
        <v>13</v>
      </c>
      <c r="P55">
        <v>2257</v>
      </c>
      <c r="Q55">
        <v>5454</v>
      </c>
      <c r="R55">
        <v>7711</v>
      </c>
      <c r="S55">
        <v>29.269874000000002</v>
      </c>
      <c r="T55" s="668">
        <f>AVERAGE(S55:S56)</f>
        <v>39.014226499999999</v>
      </c>
      <c r="V55" s="89" t="s">
        <v>12</v>
      </c>
      <c r="W55" s="45">
        <f>AVERAGE(J69:J76)</f>
        <v>42.456721375000001</v>
      </c>
      <c r="X55" s="102">
        <f>STDEV(J69:J76)</f>
        <v>6.0938889446734672</v>
      </c>
      <c r="Y55">
        <v>4</v>
      </c>
      <c r="Z55" s="91">
        <f>AVERAGE(T69:T75)</f>
        <v>35.370691166666667</v>
      </c>
      <c r="AA55" s="102">
        <f>STDEV(T69:T75)</f>
        <v>31.480915605594923</v>
      </c>
      <c r="AB55" s="4">
        <v>4</v>
      </c>
    </row>
    <row r="56" spans="2:28" ht="15.75" thickBot="1" x14ac:dyDescent="0.3">
      <c r="B56" s="645"/>
      <c r="C56" s="657"/>
      <c r="D56" s="666"/>
      <c r="E56" s="60" t="s">
        <v>14</v>
      </c>
      <c r="F56">
        <v>6442</v>
      </c>
      <c r="G56">
        <v>1168</v>
      </c>
      <c r="H56">
        <v>7610</v>
      </c>
      <c r="I56">
        <v>84.651774000000003</v>
      </c>
      <c r="J56" s="668"/>
      <c r="K56" s="45"/>
      <c r="L56" s="645"/>
      <c r="M56" s="657"/>
      <c r="N56" s="666"/>
      <c r="O56" s="60" t="s">
        <v>14</v>
      </c>
      <c r="P56">
        <v>4831</v>
      </c>
      <c r="Q56">
        <v>5077</v>
      </c>
      <c r="R56">
        <v>9908</v>
      </c>
      <c r="S56">
        <v>48.758578999999997</v>
      </c>
      <c r="T56" s="668"/>
      <c r="V56" s="90" t="s">
        <v>80</v>
      </c>
      <c r="W56" s="86">
        <f>AVERAGE(J78:J85)</f>
        <v>47.086942499999999</v>
      </c>
      <c r="X56" s="103">
        <f>STDEV(J78:J85)</f>
        <v>19.304941240060799</v>
      </c>
      <c r="Y56" s="6">
        <v>4</v>
      </c>
      <c r="Z56" s="97">
        <f>AVERAGE(T77:T87)</f>
        <v>51.278308666666668</v>
      </c>
      <c r="AA56" s="103">
        <f>STDEV(T77:T87)</f>
        <v>3.1638025348342405</v>
      </c>
      <c r="AB56" s="7">
        <v>6</v>
      </c>
    </row>
    <row r="57" spans="2:28" x14ac:dyDescent="0.25">
      <c r="B57" s="645"/>
      <c r="C57" s="657"/>
      <c r="D57" s="666">
        <v>4</v>
      </c>
      <c r="E57" s="60" t="s">
        <v>13</v>
      </c>
      <c r="F57">
        <v>2050</v>
      </c>
      <c r="G57">
        <v>1027</v>
      </c>
      <c r="H57">
        <v>3077</v>
      </c>
      <c r="I57">
        <v>66.623334</v>
      </c>
      <c r="J57" s="668">
        <f>AVERAGE(I57:I58)</f>
        <v>73.243910499999998</v>
      </c>
      <c r="K57" s="45"/>
      <c r="L57" s="645"/>
      <c r="M57" s="657"/>
      <c r="N57" s="666">
        <v>4</v>
      </c>
      <c r="O57" s="60" t="s">
        <v>13</v>
      </c>
      <c r="P57">
        <v>1539</v>
      </c>
      <c r="Q57">
        <v>3694</v>
      </c>
      <c r="R57">
        <v>5233</v>
      </c>
      <c r="S57">
        <v>29.409517000000001</v>
      </c>
      <c r="T57" s="668">
        <f>AVERAGE(S57:S58)</f>
        <v>46.813790499999996</v>
      </c>
    </row>
    <row r="58" spans="2:28" ht="15.75" thickBot="1" x14ac:dyDescent="0.3">
      <c r="B58" s="645"/>
      <c r="C58" s="657"/>
      <c r="D58" s="673"/>
      <c r="E58" s="61" t="s">
        <v>14</v>
      </c>
      <c r="F58" s="74">
        <v>5422</v>
      </c>
      <c r="G58" s="3">
        <v>1367</v>
      </c>
      <c r="H58" s="3">
        <v>6789</v>
      </c>
      <c r="I58">
        <v>79.864486999999997</v>
      </c>
      <c r="J58" s="674"/>
      <c r="K58" s="45"/>
      <c r="L58" s="645"/>
      <c r="M58" s="657"/>
      <c r="N58" s="673"/>
      <c r="O58" s="61" t="s">
        <v>14</v>
      </c>
      <c r="P58" s="74">
        <v>5560</v>
      </c>
      <c r="Q58" s="3">
        <v>3098</v>
      </c>
      <c r="R58">
        <v>8658</v>
      </c>
      <c r="S58">
        <v>64.218063999999998</v>
      </c>
      <c r="T58" s="674"/>
    </row>
    <row r="59" spans="2:28" ht="16.5" thickTop="1" thickBot="1" x14ac:dyDescent="0.3">
      <c r="B59" s="646"/>
      <c r="C59" s="636"/>
      <c r="D59" s="677" t="s">
        <v>2</v>
      </c>
      <c r="E59" s="678"/>
      <c r="F59" s="65">
        <f>AVERAGE(F51:F58)</f>
        <v>3879.5</v>
      </c>
      <c r="G59" s="65">
        <f>AVERAGE(G51:G58)</f>
        <v>2896.625</v>
      </c>
      <c r="H59" s="65">
        <f>AVERAGE(H51:H58)</f>
        <v>6776.125</v>
      </c>
      <c r="I59" s="663">
        <f>AVERAGE(I51:I58)</f>
        <v>58.269169124999998</v>
      </c>
      <c r="J59" s="664"/>
      <c r="K59" s="45"/>
      <c r="L59" s="646"/>
      <c r="M59" s="636"/>
      <c r="N59" s="651" t="s">
        <v>2</v>
      </c>
      <c r="O59" s="653"/>
      <c r="P59" s="65">
        <f>AVERAGE(P51:P58)</f>
        <v>3954.625</v>
      </c>
      <c r="Q59" s="65">
        <f>AVERAGE(Q51:Q58)</f>
        <v>3851.875</v>
      </c>
      <c r="R59" s="75">
        <f>AVERAGE(R51:R58)</f>
        <v>7806.5</v>
      </c>
      <c r="S59" s="663">
        <f>AVERAGE(S51:S58)</f>
        <v>52.686287375000006</v>
      </c>
      <c r="T59" s="664"/>
      <c r="V59" s="644" t="s">
        <v>77</v>
      </c>
      <c r="W59" s="640" t="s">
        <v>72</v>
      </c>
      <c r="X59" s="637"/>
      <c r="Y59" s="634" t="s">
        <v>73</v>
      </c>
      <c r="Z59" s="637"/>
    </row>
    <row r="60" spans="2:28" ht="15.75" thickBot="1" x14ac:dyDescent="0.3">
      <c r="B60" s="644" t="s">
        <v>11</v>
      </c>
      <c r="C60" s="635" t="s">
        <v>31</v>
      </c>
      <c r="D60" s="665">
        <v>1</v>
      </c>
      <c r="E60" s="62" t="s">
        <v>13</v>
      </c>
      <c r="F60">
        <v>2919</v>
      </c>
      <c r="G60">
        <v>4294</v>
      </c>
      <c r="H60">
        <v>7213</v>
      </c>
      <c r="I60">
        <v>40.468598</v>
      </c>
      <c r="J60" s="667">
        <f>AVERAGE(I60:I61)</f>
        <v>50.004703500000005</v>
      </c>
      <c r="K60" s="45"/>
      <c r="L60" s="644" t="s">
        <v>11</v>
      </c>
      <c r="M60" s="635" t="s">
        <v>35</v>
      </c>
      <c r="N60" s="665">
        <v>1</v>
      </c>
      <c r="O60" s="62" t="s">
        <v>13</v>
      </c>
      <c r="P60">
        <v>2486</v>
      </c>
      <c r="Q60">
        <v>2444</v>
      </c>
      <c r="R60">
        <v>4930</v>
      </c>
      <c r="S60">
        <v>50.425963000000003</v>
      </c>
      <c r="T60" s="667">
        <f>AVERAGE(S60:S61)</f>
        <v>50.010906000000006</v>
      </c>
      <c r="V60" s="646"/>
      <c r="W60" s="88" t="s">
        <v>68</v>
      </c>
      <c r="X60" s="98" t="s">
        <v>67</v>
      </c>
      <c r="Y60" s="56" t="s">
        <v>68</v>
      </c>
      <c r="Z60" s="98" t="s">
        <v>67</v>
      </c>
    </row>
    <row r="61" spans="2:28" x14ac:dyDescent="0.25">
      <c r="B61" s="645"/>
      <c r="C61" s="657"/>
      <c r="D61" s="666"/>
      <c r="E61" s="60" t="s">
        <v>14</v>
      </c>
      <c r="F61">
        <v>4253</v>
      </c>
      <c r="G61">
        <v>2890</v>
      </c>
      <c r="H61">
        <v>7143</v>
      </c>
      <c r="I61">
        <v>59.540809000000003</v>
      </c>
      <c r="J61" s="668"/>
      <c r="K61" s="45"/>
      <c r="L61" s="645"/>
      <c r="M61" s="657"/>
      <c r="N61" s="666"/>
      <c r="O61" s="60" t="s">
        <v>14</v>
      </c>
      <c r="P61">
        <v>4970</v>
      </c>
      <c r="Q61">
        <v>5051</v>
      </c>
      <c r="R61">
        <v>10021</v>
      </c>
      <c r="S61">
        <v>49.595849000000001</v>
      </c>
      <c r="T61" s="668"/>
      <c r="V61" s="80" t="s">
        <v>64</v>
      </c>
      <c r="W61" s="432">
        <f>TTEST(I51:I58,I60:I67,1,2)</f>
        <v>0.12640366206775686</v>
      </c>
      <c r="X61" s="433">
        <f>TTEST(J51:J58,J60:J67,1,2)</f>
        <v>0.1387155446417207</v>
      </c>
      <c r="Y61" s="131">
        <f>TTEST(S60:S67,S51:S58,1,2)</f>
        <v>0.45373204347826662</v>
      </c>
      <c r="Z61" s="433">
        <f>TTEST(T60:T67,T51:T58,1,2)</f>
        <v>0.46288285570654958</v>
      </c>
    </row>
    <row r="62" spans="2:28" x14ac:dyDescent="0.25">
      <c r="B62" s="645"/>
      <c r="C62" s="657"/>
      <c r="D62" s="666">
        <v>2</v>
      </c>
      <c r="E62" s="60" t="s">
        <v>13</v>
      </c>
      <c r="F62">
        <v>3535</v>
      </c>
      <c r="G62">
        <v>2930</v>
      </c>
      <c r="H62">
        <v>6465</v>
      </c>
      <c r="I62">
        <v>54.679040999999998</v>
      </c>
      <c r="J62" s="668">
        <f>AVERAGE(I62:I63)</f>
        <v>46.621854999999996</v>
      </c>
      <c r="K62" s="45"/>
      <c r="L62" s="645"/>
      <c r="M62" s="657"/>
      <c r="N62" s="666">
        <v>2</v>
      </c>
      <c r="O62" s="60" t="s">
        <v>13</v>
      </c>
      <c r="P62">
        <v>1858</v>
      </c>
      <c r="Q62">
        <v>3147</v>
      </c>
      <c r="R62">
        <v>5005</v>
      </c>
      <c r="S62">
        <v>37.122877000000003</v>
      </c>
      <c r="T62" s="668">
        <f>AVERAGE(S62:S63)</f>
        <v>37.152033500000002</v>
      </c>
      <c r="V62" s="80" t="s">
        <v>65</v>
      </c>
      <c r="W62" s="432">
        <f>TTEST(I60:I67,I69:I76,1,2)</f>
        <v>0.1284346466072683</v>
      </c>
      <c r="X62" s="433">
        <f>TTEST(J60:J67,J69:J76,1,2)</f>
        <v>0.11295881605864566</v>
      </c>
      <c r="Y62" s="131">
        <f>TTEST(S60:S67,S69:S75,1,2)</f>
        <v>9.0154963627835288E-2</v>
      </c>
      <c r="Z62" s="433">
        <f>TTEST(T60:T67,T69:T73,1,2)</f>
        <v>8.7486538034518072E-3</v>
      </c>
    </row>
    <row r="63" spans="2:28" x14ac:dyDescent="0.25">
      <c r="B63" s="645"/>
      <c r="C63" s="657"/>
      <c r="D63" s="666"/>
      <c r="E63" s="60" t="s">
        <v>14</v>
      </c>
      <c r="F63">
        <v>1467</v>
      </c>
      <c r="G63">
        <v>2337</v>
      </c>
      <c r="H63">
        <v>3804</v>
      </c>
      <c r="I63">
        <v>38.564669000000002</v>
      </c>
      <c r="J63" s="668"/>
      <c r="K63" s="45"/>
      <c r="L63" s="645"/>
      <c r="M63" s="657"/>
      <c r="N63" s="666"/>
      <c r="O63" s="60" t="s">
        <v>14</v>
      </c>
      <c r="P63">
        <v>2799</v>
      </c>
      <c r="Q63">
        <v>4729</v>
      </c>
      <c r="R63">
        <v>7528</v>
      </c>
      <c r="S63">
        <v>37.181190000000001</v>
      </c>
      <c r="T63" s="668"/>
      <c r="V63" s="80" t="s">
        <v>66</v>
      </c>
      <c r="W63" s="432">
        <f>TTEST(I51:I58,I69:I76,1,2)</f>
        <v>2.3042884196737605E-2</v>
      </c>
      <c r="X63" s="433">
        <f>TTEST(J51:J58,J69:J76,1,2)</f>
        <v>3.7425954051199251E-2</v>
      </c>
      <c r="Y63" s="131">
        <f>TTEST(S51:S58,S69:S75,1,2)</f>
        <v>0.10070642237112004</v>
      </c>
      <c r="Z63" s="433">
        <f>TTEST(T51:T58,T69:T75,1,2)</f>
        <v>0.19239120945501725</v>
      </c>
    </row>
    <row r="64" spans="2:28" ht="15.75" thickBot="1" x14ac:dyDescent="0.3">
      <c r="B64" s="645"/>
      <c r="C64" s="657"/>
      <c r="D64" s="666">
        <v>3</v>
      </c>
      <c r="E64" s="60" t="s">
        <v>13</v>
      </c>
      <c r="F64">
        <v>1314</v>
      </c>
      <c r="G64">
        <v>3232</v>
      </c>
      <c r="H64">
        <v>4546</v>
      </c>
      <c r="I64">
        <v>28.904530999999999</v>
      </c>
      <c r="J64" s="668">
        <f>AVERAGE(I64:I65)</f>
        <v>40.639754499999995</v>
      </c>
      <c r="K64" s="45"/>
      <c r="L64" s="645"/>
      <c r="M64" s="657"/>
      <c r="N64" s="666">
        <v>3</v>
      </c>
      <c r="O64" s="60" t="s">
        <v>13</v>
      </c>
      <c r="P64">
        <v>2007</v>
      </c>
      <c r="Q64">
        <v>606</v>
      </c>
      <c r="R64">
        <v>2613</v>
      </c>
      <c r="S64">
        <v>76.808266000000003</v>
      </c>
      <c r="T64" s="668">
        <f>AVERAGE(S64:S65)</f>
        <v>63.892587500000005</v>
      </c>
      <c r="V64" s="81" t="s">
        <v>71</v>
      </c>
      <c r="W64" s="434">
        <f>TTEST(I78:I85,I69:I76,1,2)</f>
        <v>0.30906421303408299</v>
      </c>
      <c r="X64" s="435">
        <f>TTEST(J78:J85,J69:J76,1,2)</f>
        <v>0.33172443197793555</v>
      </c>
      <c r="Y64" s="142">
        <f>TTEST(S77:S87,S69:S73,1,2)</f>
        <v>3.4965459331062583E-3</v>
      </c>
      <c r="Z64" s="435">
        <f>TTEST(T77:T87,T69:T73,1,2)</f>
        <v>1.54952426508782E-3</v>
      </c>
    </row>
    <row r="65" spans="2:24" ht="15.75" thickBot="1" x14ac:dyDescent="0.3">
      <c r="B65" s="645"/>
      <c r="C65" s="657"/>
      <c r="D65" s="666"/>
      <c r="E65" s="60" t="s">
        <v>14</v>
      </c>
      <c r="F65">
        <v>2922</v>
      </c>
      <c r="G65">
        <v>2657</v>
      </c>
      <c r="H65">
        <v>5579</v>
      </c>
      <c r="I65">
        <v>52.374977999999999</v>
      </c>
      <c r="J65" s="668"/>
      <c r="K65" s="45"/>
      <c r="L65" s="645"/>
      <c r="M65" s="657"/>
      <c r="N65" s="666"/>
      <c r="O65" s="60" t="s">
        <v>14</v>
      </c>
      <c r="P65">
        <v>3731</v>
      </c>
      <c r="Q65">
        <v>3588</v>
      </c>
      <c r="R65">
        <v>7319</v>
      </c>
      <c r="S65">
        <v>50.976908999999999</v>
      </c>
      <c r="T65" s="668"/>
    </row>
    <row r="66" spans="2:24" x14ac:dyDescent="0.25">
      <c r="B66" s="645"/>
      <c r="C66" s="657"/>
      <c r="D66" s="666">
        <v>4</v>
      </c>
      <c r="E66" s="60" t="s">
        <v>13</v>
      </c>
      <c r="F66">
        <v>3202</v>
      </c>
      <c r="G66">
        <v>3125</v>
      </c>
      <c r="H66">
        <v>6327</v>
      </c>
      <c r="I66">
        <v>50.608502999999999</v>
      </c>
      <c r="J66" s="668">
        <f>AVERAGE(I66:I67)</f>
        <v>58.995750999999998</v>
      </c>
      <c r="K66" s="45"/>
      <c r="L66" s="645"/>
      <c r="M66" s="657"/>
      <c r="N66" s="666">
        <v>4</v>
      </c>
      <c r="O66" s="60" t="s">
        <v>13</v>
      </c>
      <c r="P66">
        <v>2798</v>
      </c>
      <c r="Q66">
        <v>3249</v>
      </c>
      <c r="R66">
        <v>6047</v>
      </c>
      <c r="S66">
        <v>46.270878000000003</v>
      </c>
      <c r="T66" s="668">
        <f>AVERAGE(S66:S67)</f>
        <v>55.750736000000003</v>
      </c>
      <c r="V66" s="644" t="s">
        <v>77</v>
      </c>
      <c r="W66" s="640" t="s">
        <v>69</v>
      </c>
      <c r="X66" s="637"/>
    </row>
    <row r="67" spans="2:24" ht="15.75" thickBot="1" x14ac:dyDescent="0.3">
      <c r="B67" s="645"/>
      <c r="C67" s="657"/>
      <c r="D67" s="673"/>
      <c r="E67" s="61" t="s">
        <v>14</v>
      </c>
      <c r="F67" s="74">
        <v>2822</v>
      </c>
      <c r="G67" s="3">
        <v>1366</v>
      </c>
      <c r="H67" s="3">
        <v>4188</v>
      </c>
      <c r="I67">
        <v>67.382998999999998</v>
      </c>
      <c r="J67" s="674"/>
      <c r="K67" s="45"/>
      <c r="L67" s="645"/>
      <c r="M67" s="657"/>
      <c r="N67" s="673"/>
      <c r="O67" s="61" t="s">
        <v>14</v>
      </c>
      <c r="P67" s="74">
        <v>3437</v>
      </c>
      <c r="Q67" s="3">
        <v>1832</v>
      </c>
      <c r="R67">
        <v>5269</v>
      </c>
      <c r="S67">
        <v>65.230593999999996</v>
      </c>
      <c r="T67" s="674"/>
      <c r="V67" s="646"/>
      <c r="W67" s="88" t="s">
        <v>68</v>
      </c>
      <c r="X67" s="98" t="s">
        <v>67</v>
      </c>
    </row>
    <row r="68" spans="2:24" ht="16.5" thickTop="1" thickBot="1" x14ac:dyDescent="0.3">
      <c r="B68" s="646"/>
      <c r="C68" s="636"/>
      <c r="D68" s="677" t="s">
        <v>2</v>
      </c>
      <c r="E68" s="678"/>
      <c r="F68" s="65">
        <f>AVERAGE(F60:F67)</f>
        <v>2804.25</v>
      </c>
      <c r="G68" s="65">
        <f>AVERAGE(G60:G67)</f>
        <v>2853.875</v>
      </c>
      <c r="H68" s="65">
        <f>AVERAGE(H60:H67)</f>
        <v>5658.125</v>
      </c>
      <c r="I68" s="663">
        <f>AVERAGE(I60:I67)</f>
        <v>49.065515999999995</v>
      </c>
      <c r="J68" s="664"/>
      <c r="K68" s="45"/>
      <c r="L68" s="646"/>
      <c r="M68" s="636"/>
      <c r="N68" s="651" t="s">
        <v>2</v>
      </c>
      <c r="O68" s="653"/>
      <c r="P68" s="65">
        <f>AVERAGE(P60:P67)</f>
        <v>3010.75</v>
      </c>
      <c r="Q68" s="65">
        <f>AVERAGE(Q60:Q67)</f>
        <v>3080.75</v>
      </c>
      <c r="R68" s="75">
        <f>AVERAGE(R60:R67)</f>
        <v>6091.5</v>
      </c>
      <c r="S68" s="663">
        <f>AVERAGE(T60:T67)</f>
        <v>51.70156575</v>
      </c>
      <c r="T68" s="664"/>
      <c r="V68" s="80" t="s">
        <v>26</v>
      </c>
      <c r="W68" s="91">
        <f>TTEST(I51:I58,S51:S58,1,2)</f>
        <v>0.2792220979470782</v>
      </c>
      <c r="X68" s="99">
        <f>TTEST(J51:J58,T51:T58,1,2)</f>
        <v>0.31121790521387871</v>
      </c>
    </row>
    <row r="69" spans="2:24" x14ac:dyDescent="0.25">
      <c r="B69" s="645" t="s">
        <v>12</v>
      </c>
      <c r="C69" s="657" t="s">
        <v>51</v>
      </c>
      <c r="D69" s="669">
        <v>1</v>
      </c>
      <c r="E69" s="60" t="s">
        <v>13</v>
      </c>
      <c r="F69">
        <v>2027</v>
      </c>
      <c r="G69">
        <v>2718</v>
      </c>
      <c r="H69">
        <v>4745</v>
      </c>
      <c r="I69">
        <v>42.718651000000001</v>
      </c>
      <c r="J69" s="668">
        <f>AVERAGE(I69:I70)</f>
        <v>36.147638000000001</v>
      </c>
      <c r="K69" s="45"/>
      <c r="L69" s="627" t="s">
        <v>12</v>
      </c>
      <c r="M69" s="635" t="s">
        <v>28</v>
      </c>
      <c r="N69" s="665">
        <v>1</v>
      </c>
      <c r="O69" s="403" t="s">
        <v>13</v>
      </c>
      <c r="P69">
        <v>839</v>
      </c>
      <c r="Q69">
        <v>3056</v>
      </c>
      <c r="R69">
        <v>3895</v>
      </c>
      <c r="S69">
        <v>21.540436</v>
      </c>
      <c r="T69" s="667">
        <f>AVERAGE(S69:S70)</f>
        <v>21.447509</v>
      </c>
      <c r="V69" s="80" t="s">
        <v>11</v>
      </c>
      <c r="W69" s="91">
        <f>TTEST(I60:I67,S60:S67,1,2)</f>
        <v>0.34521958993747304</v>
      </c>
      <c r="X69" s="99">
        <f>TTEST(J60:J67,T60:T67,1,2)</f>
        <v>0.35596503895010723</v>
      </c>
    </row>
    <row r="70" spans="2:24" x14ac:dyDescent="0.25">
      <c r="B70" s="645"/>
      <c r="C70" s="657"/>
      <c r="D70" s="669"/>
      <c r="E70" s="60" t="s">
        <v>14</v>
      </c>
      <c r="F70">
        <v>496</v>
      </c>
      <c r="G70">
        <v>1181</v>
      </c>
      <c r="H70">
        <v>1677</v>
      </c>
      <c r="I70">
        <v>29.576625</v>
      </c>
      <c r="J70" s="668"/>
      <c r="K70" s="45"/>
      <c r="L70" s="628"/>
      <c r="M70" s="657"/>
      <c r="N70" s="666"/>
      <c r="O70" s="63" t="s">
        <v>14</v>
      </c>
      <c r="P70">
        <v>536</v>
      </c>
      <c r="Q70">
        <v>1974</v>
      </c>
      <c r="R70">
        <v>2510</v>
      </c>
      <c r="S70">
        <v>21.354582000000001</v>
      </c>
      <c r="T70" s="668"/>
      <c r="V70" s="80" t="s">
        <v>12</v>
      </c>
      <c r="W70" s="91">
        <f>TTEST(I69:I76,S69:S75,1,2)</f>
        <v>0.26247820579189129</v>
      </c>
      <c r="X70" s="99">
        <f>TTEST(J69:J76,T69:T75,1,2)</f>
        <v>0.33462585776883985</v>
      </c>
    </row>
    <row r="71" spans="2:24" ht="15.75" thickBot="1" x14ac:dyDescent="0.3">
      <c r="B71" s="645"/>
      <c r="C71" s="657"/>
      <c r="D71" s="669">
        <v>2</v>
      </c>
      <c r="E71" s="60" t="s">
        <v>13</v>
      </c>
      <c r="F71">
        <v>1020</v>
      </c>
      <c r="G71">
        <v>994</v>
      </c>
      <c r="H71">
        <v>2014</v>
      </c>
      <c r="I71">
        <v>50.645482000000001</v>
      </c>
      <c r="J71" s="668">
        <f>AVERAGE(I71:I72)</f>
        <v>40.783023</v>
      </c>
      <c r="K71" s="45"/>
      <c r="L71" s="628"/>
      <c r="M71" s="657"/>
      <c r="N71" s="666">
        <v>2</v>
      </c>
      <c r="O71" s="63" t="s">
        <v>13</v>
      </c>
      <c r="P71">
        <v>633</v>
      </c>
      <c r="Q71">
        <v>2725</v>
      </c>
      <c r="R71">
        <v>3358</v>
      </c>
      <c r="S71">
        <v>18.850505999999999</v>
      </c>
      <c r="T71" s="668">
        <f>AVERAGE(S71:S72)</f>
        <v>13.2521035</v>
      </c>
      <c r="V71" s="81" t="s">
        <v>78</v>
      </c>
      <c r="W71" s="97">
        <f>TTEST(I78:I85,S77:S87,1,2)</f>
        <v>0.36195005347691878</v>
      </c>
      <c r="X71" s="100">
        <f>TTEST(J78:J85,T77:T87,1,2)</f>
        <v>0.36546069278429105</v>
      </c>
    </row>
    <row r="72" spans="2:24" x14ac:dyDescent="0.25">
      <c r="B72" s="645"/>
      <c r="C72" s="657"/>
      <c r="D72" s="669"/>
      <c r="E72" s="60" t="s">
        <v>14</v>
      </c>
      <c r="F72">
        <v>2499</v>
      </c>
      <c r="G72">
        <v>5583</v>
      </c>
      <c r="H72">
        <v>8082</v>
      </c>
      <c r="I72">
        <v>30.920563999999999</v>
      </c>
      <c r="J72" s="668"/>
      <c r="K72" s="45"/>
      <c r="L72" s="628"/>
      <c r="M72" s="657"/>
      <c r="N72" s="666"/>
      <c r="O72" s="63" t="s">
        <v>14</v>
      </c>
      <c r="P72">
        <v>122</v>
      </c>
      <c r="Q72">
        <v>1472</v>
      </c>
      <c r="R72">
        <v>1594</v>
      </c>
      <c r="S72">
        <v>7.6537009999999999</v>
      </c>
      <c r="T72" s="668"/>
    </row>
    <row r="73" spans="2:24" x14ac:dyDescent="0.25">
      <c r="B73" s="645"/>
      <c r="C73" s="657"/>
      <c r="D73" s="669">
        <v>3</v>
      </c>
      <c r="E73" s="60" t="s">
        <v>13</v>
      </c>
      <c r="F73">
        <v>1686</v>
      </c>
      <c r="G73">
        <v>1161</v>
      </c>
      <c r="H73">
        <v>2847</v>
      </c>
      <c r="I73">
        <v>59.220232000000003</v>
      </c>
      <c r="J73" s="668">
        <f>AVERAGE(I73:I74)</f>
        <v>50.745683999999997</v>
      </c>
      <c r="K73" s="45"/>
      <c r="L73" s="628"/>
      <c r="M73" s="658"/>
      <c r="N73" s="298">
        <v>3</v>
      </c>
      <c r="O73" s="402" t="s">
        <v>13</v>
      </c>
      <c r="P73" s="138"/>
      <c r="Q73" s="162"/>
      <c r="R73" s="162"/>
      <c r="S73" s="162"/>
      <c r="T73" s="404"/>
    </row>
    <row r="74" spans="2:24" x14ac:dyDescent="0.25">
      <c r="B74" s="645"/>
      <c r="C74" s="657"/>
      <c r="D74" s="669"/>
      <c r="E74" s="60" t="s">
        <v>14</v>
      </c>
      <c r="F74">
        <v>845</v>
      </c>
      <c r="G74">
        <v>1154</v>
      </c>
      <c r="H74">
        <v>1999</v>
      </c>
      <c r="I74">
        <v>42.271135999999998</v>
      </c>
      <c r="J74" s="668"/>
      <c r="K74" s="45"/>
      <c r="L74" s="628"/>
      <c r="M74" s="680" t="s">
        <v>210</v>
      </c>
      <c r="N74" s="675">
        <v>1</v>
      </c>
      <c r="O74" s="297" t="s">
        <v>13</v>
      </c>
      <c r="P74">
        <v>1332</v>
      </c>
      <c r="Q74">
        <v>762</v>
      </c>
      <c r="R74">
        <v>2094</v>
      </c>
      <c r="S74">
        <v>63.610315</v>
      </c>
      <c r="T74" s="676">
        <f>AVERAGE(S74:S75)</f>
        <v>71.412461000000008</v>
      </c>
    </row>
    <row r="75" spans="2:24" ht="15.75" thickBot="1" x14ac:dyDescent="0.3">
      <c r="B75" s="645"/>
      <c r="C75" s="657"/>
      <c r="D75" s="669">
        <v>4</v>
      </c>
      <c r="E75" s="60" t="s">
        <v>13</v>
      </c>
      <c r="F75">
        <v>1959</v>
      </c>
      <c r="G75">
        <v>2347</v>
      </c>
      <c r="H75">
        <v>4306</v>
      </c>
      <c r="I75">
        <v>45.494658999999999</v>
      </c>
      <c r="J75" s="668">
        <f>AVERAGE(I75:I76)</f>
        <v>42.150540499999998</v>
      </c>
      <c r="K75" s="45"/>
      <c r="L75" s="628"/>
      <c r="M75" s="681"/>
      <c r="N75" s="673"/>
      <c r="O75" s="64" t="s">
        <v>14</v>
      </c>
      <c r="P75" s="74">
        <v>3167</v>
      </c>
      <c r="Q75" s="3">
        <v>831</v>
      </c>
      <c r="R75" s="3">
        <v>3998</v>
      </c>
      <c r="S75" s="3">
        <v>79.214607000000001</v>
      </c>
      <c r="T75" s="679"/>
    </row>
    <row r="76" spans="2:24" ht="16.5" thickTop="1" thickBot="1" x14ac:dyDescent="0.3">
      <c r="B76" s="645"/>
      <c r="C76" s="657"/>
      <c r="D76" s="682"/>
      <c r="E76" s="61" t="s">
        <v>14</v>
      </c>
      <c r="F76" s="74">
        <v>1281</v>
      </c>
      <c r="G76" s="3">
        <v>2020</v>
      </c>
      <c r="H76" s="3">
        <v>3301</v>
      </c>
      <c r="I76">
        <v>38.806421999999998</v>
      </c>
      <c r="J76" s="674"/>
      <c r="K76" s="45"/>
      <c r="L76" s="629"/>
      <c r="M76" s="683" t="s">
        <v>2</v>
      </c>
      <c r="N76" s="684"/>
      <c r="O76" s="639"/>
      <c r="P76" s="65">
        <f>AVERAGE(P69:P73)</f>
        <v>532.5</v>
      </c>
      <c r="Q76" s="65">
        <f>AVERAGE(Q69:Q73)</f>
        <v>2306.75</v>
      </c>
      <c r="R76" s="6">
        <f>AVERAGE(R69:R73)</f>
        <v>2839.25</v>
      </c>
      <c r="S76" s="654">
        <f>AVERAGE(T69:T75)</f>
        <v>35.370691166666667</v>
      </c>
      <c r="T76" s="655"/>
    </row>
    <row r="77" spans="2:24" ht="16.5" thickTop="1" thickBot="1" x14ac:dyDescent="0.3">
      <c r="B77" s="646"/>
      <c r="C77" s="636"/>
      <c r="D77" s="685" t="s">
        <v>2</v>
      </c>
      <c r="E77" s="685"/>
      <c r="F77" s="6">
        <f>AVERAGE(F69:F76)</f>
        <v>1476.625</v>
      </c>
      <c r="G77" s="65">
        <f>AVERAGE(G69:G76)</f>
        <v>2144.75</v>
      </c>
      <c r="H77" s="65">
        <f>AVERAGE(H69:H76)</f>
        <v>3621.375</v>
      </c>
      <c r="I77" s="663">
        <f>AVERAGE(I69:I76)</f>
        <v>42.456721375000001</v>
      </c>
      <c r="J77" s="664"/>
      <c r="K77" s="45"/>
      <c r="L77" s="644" t="s">
        <v>37</v>
      </c>
      <c r="M77" s="635" t="s">
        <v>113</v>
      </c>
      <c r="N77" s="659">
        <v>1</v>
      </c>
      <c r="O77" s="113" t="s">
        <v>13</v>
      </c>
      <c r="P77" s="114"/>
      <c r="Q77" s="114"/>
      <c r="R77" s="114"/>
      <c r="S77" s="115"/>
      <c r="T77" s="661"/>
    </row>
    <row r="78" spans="2:24" x14ac:dyDescent="0.25">
      <c r="B78" s="644" t="s">
        <v>36</v>
      </c>
      <c r="C78" s="635" t="s">
        <v>50</v>
      </c>
      <c r="D78" s="665">
        <v>1</v>
      </c>
      <c r="E78" s="62" t="s">
        <v>13</v>
      </c>
      <c r="F78">
        <v>1229</v>
      </c>
      <c r="G78">
        <v>2416</v>
      </c>
      <c r="H78">
        <v>3645</v>
      </c>
      <c r="I78">
        <v>33.717421000000002</v>
      </c>
      <c r="J78" s="667">
        <f>AVERAGE(I78:I79)</f>
        <v>23.455742000000001</v>
      </c>
      <c r="L78" s="645"/>
      <c r="M78" s="657"/>
      <c r="N78" s="660"/>
      <c r="O78" s="116" t="s">
        <v>14</v>
      </c>
      <c r="P78" s="111"/>
      <c r="Q78" s="111"/>
      <c r="R78" s="111"/>
      <c r="S78" s="117"/>
      <c r="T78" s="662"/>
    </row>
    <row r="79" spans="2:24" x14ac:dyDescent="0.25">
      <c r="B79" s="645"/>
      <c r="C79" s="657"/>
      <c r="D79" s="666"/>
      <c r="E79" s="60" t="s">
        <v>14</v>
      </c>
      <c r="F79">
        <v>480</v>
      </c>
      <c r="G79">
        <v>3158</v>
      </c>
      <c r="H79">
        <v>3638</v>
      </c>
      <c r="I79">
        <v>13.194063</v>
      </c>
      <c r="J79" s="668"/>
      <c r="L79" s="645"/>
      <c r="M79" s="657"/>
      <c r="N79" s="669">
        <v>2</v>
      </c>
      <c r="O79" s="60" t="s">
        <v>13</v>
      </c>
      <c r="P79" s="79"/>
      <c r="S79" s="45"/>
      <c r="T79" s="668"/>
    </row>
    <row r="80" spans="2:24" x14ac:dyDescent="0.25">
      <c r="B80" s="645"/>
      <c r="C80" s="657"/>
      <c r="D80" s="666">
        <v>2</v>
      </c>
      <c r="E80" s="60" t="s">
        <v>13</v>
      </c>
      <c r="F80">
        <v>685</v>
      </c>
      <c r="G80">
        <v>934</v>
      </c>
      <c r="H80">
        <v>1619</v>
      </c>
      <c r="I80">
        <v>42.310068000000001</v>
      </c>
      <c r="J80" s="668">
        <f>AVERAGE(I80:I81)</f>
        <v>49.413159499999999</v>
      </c>
      <c r="L80" s="645"/>
      <c r="M80" s="658"/>
      <c r="N80" s="670"/>
      <c r="O80" s="54" t="s">
        <v>14</v>
      </c>
      <c r="P80" s="138"/>
      <c r="Q80" s="162"/>
      <c r="R80" s="162"/>
      <c r="S80" s="296"/>
      <c r="T80" s="671"/>
    </row>
    <row r="81" spans="2:20" x14ac:dyDescent="0.25">
      <c r="B81" s="645"/>
      <c r="C81" s="657"/>
      <c r="D81" s="666"/>
      <c r="E81" s="60" t="s">
        <v>14</v>
      </c>
      <c r="F81">
        <v>1791</v>
      </c>
      <c r="G81">
        <v>1378</v>
      </c>
      <c r="H81">
        <v>3169</v>
      </c>
      <c r="I81">
        <v>56.516250999999997</v>
      </c>
      <c r="J81" s="668"/>
      <c r="L81" s="645"/>
      <c r="M81" s="657" t="s">
        <v>154</v>
      </c>
      <c r="N81" s="669">
        <v>1</v>
      </c>
      <c r="O81" s="297" t="s">
        <v>13</v>
      </c>
      <c r="P81">
        <v>900</v>
      </c>
      <c r="Q81">
        <v>2447</v>
      </c>
      <c r="R81">
        <v>3347</v>
      </c>
      <c r="S81">
        <v>26.889752000000001</v>
      </c>
      <c r="T81" s="672">
        <f>AVERAGE(S81:S82)</f>
        <v>48.037831500000003</v>
      </c>
    </row>
    <row r="82" spans="2:20" x14ac:dyDescent="0.25">
      <c r="B82" s="645"/>
      <c r="C82" s="657"/>
      <c r="D82" s="666">
        <v>3</v>
      </c>
      <c r="E82" s="60" t="s">
        <v>13</v>
      </c>
      <c r="F82">
        <v>1057</v>
      </c>
      <c r="G82">
        <v>581</v>
      </c>
      <c r="H82">
        <v>1638</v>
      </c>
      <c r="I82">
        <v>64.529915000000003</v>
      </c>
      <c r="J82" s="668">
        <f>AVERAGE(I82:I83)</f>
        <v>70.530958499999997</v>
      </c>
      <c r="L82" s="645"/>
      <c r="M82" s="657"/>
      <c r="N82" s="669"/>
      <c r="O82" s="63" t="s">
        <v>14</v>
      </c>
      <c r="P82">
        <v>2966</v>
      </c>
      <c r="Q82">
        <v>1321</v>
      </c>
      <c r="R82">
        <v>4287</v>
      </c>
      <c r="S82">
        <v>69.185911000000004</v>
      </c>
      <c r="T82" s="672"/>
    </row>
    <row r="83" spans="2:20" x14ac:dyDescent="0.25">
      <c r="B83" s="645"/>
      <c r="C83" s="657"/>
      <c r="D83" s="666"/>
      <c r="E83" s="60" t="s">
        <v>14</v>
      </c>
      <c r="F83">
        <v>1686</v>
      </c>
      <c r="G83">
        <v>517</v>
      </c>
      <c r="H83">
        <v>2203</v>
      </c>
      <c r="I83">
        <v>76.532002000000006</v>
      </c>
      <c r="J83" s="668"/>
      <c r="L83" s="645"/>
      <c r="M83" s="658"/>
      <c r="N83" s="298">
        <v>2</v>
      </c>
      <c r="O83" s="402" t="s">
        <v>13</v>
      </c>
      <c r="P83" s="162"/>
      <c r="Q83" s="162"/>
      <c r="R83" s="162"/>
      <c r="S83" s="162"/>
      <c r="T83" s="405"/>
    </row>
    <row r="84" spans="2:20" x14ac:dyDescent="0.25">
      <c r="B84" s="645"/>
      <c r="C84" s="657"/>
      <c r="D84" s="666">
        <v>4</v>
      </c>
      <c r="E84" s="60" t="s">
        <v>13</v>
      </c>
      <c r="F84">
        <v>1327</v>
      </c>
      <c r="G84">
        <v>549</v>
      </c>
      <c r="H84">
        <v>1876</v>
      </c>
      <c r="I84">
        <v>70.735607999999999</v>
      </c>
      <c r="J84" s="668">
        <f>AVERAGE(I84:I85)</f>
        <v>44.94791</v>
      </c>
      <c r="L84" s="645"/>
      <c r="M84" s="675" t="s">
        <v>210</v>
      </c>
      <c r="N84" s="675">
        <v>1</v>
      </c>
      <c r="O84" s="297" t="s">
        <v>13</v>
      </c>
      <c r="P84">
        <v>1837</v>
      </c>
      <c r="Q84">
        <v>2822</v>
      </c>
      <c r="R84">
        <v>4659</v>
      </c>
      <c r="S84">
        <v>39.429062000000002</v>
      </c>
      <c r="T84" s="676">
        <f>AVERAGE(S84:S85)</f>
        <v>54.359412499999998</v>
      </c>
    </row>
    <row r="85" spans="2:20" ht="15.75" thickBot="1" x14ac:dyDescent="0.3">
      <c r="B85" s="645"/>
      <c r="C85" s="657"/>
      <c r="D85" s="673"/>
      <c r="E85" s="61" t="s">
        <v>14</v>
      </c>
      <c r="F85" s="74">
        <v>470</v>
      </c>
      <c r="G85" s="3">
        <v>1983</v>
      </c>
      <c r="H85">
        <v>2453</v>
      </c>
      <c r="I85">
        <v>19.160212000000001</v>
      </c>
      <c r="J85" s="674"/>
      <c r="L85" s="645"/>
      <c r="M85" s="666"/>
      <c r="N85" s="666"/>
      <c r="O85" s="63" t="s">
        <v>14</v>
      </c>
      <c r="P85">
        <v>2078</v>
      </c>
      <c r="Q85">
        <v>921</v>
      </c>
      <c r="R85">
        <v>2999</v>
      </c>
      <c r="S85">
        <v>69.289762999999994</v>
      </c>
      <c r="T85" s="672"/>
    </row>
    <row r="86" spans="2:20" ht="16.5" thickTop="1" thickBot="1" x14ac:dyDescent="0.3">
      <c r="B86" s="646"/>
      <c r="C86" s="636"/>
      <c r="D86" s="677" t="s">
        <v>2</v>
      </c>
      <c r="E86" s="678"/>
      <c r="F86" s="65">
        <f>AVERAGE(F78:F85)</f>
        <v>1090.625</v>
      </c>
      <c r="G86" s="65">
        <f>AVERAGE(G78:G85)</f>
        <v>1439.5</v>
      </c>
      <c r="H86" s="75">
        <f>AVERAGE(H78:H85)</f>
        <v>2530.125</v>
      </c>
      <c r="I86" s="663">
        <f>AVERAGE(I78:I85)</f>
        <v>47.086942499999999</v>
      </c>
      <c r="J86" s="664"/>
      <c r="L86" s="645"/>
      <c r="M86" s="666"/>
      <c r="N86" s="666">
        <v>2</v>
      </c>
      <c r="O86" s="63" t="s">
        <v>13</v>
      </c>
      <c r="P86">
        <v>3337</v>
      </c>
      <c r="Q86">
        <v>2103</v>
      </c>
      <c r="R86">
        <v>5440</v>
      </c>
      <c r="S86">
        <v>61.341912000000001</v>
      </c>
      <c r="T86" s="672">
        <f>AVERAGE(S86:S87)</f>
        <v>51.437681999999995</v>
      </c>
    </row>
    <row r="87" spans="2:20" ht="15.75" thickBot="1" x14ac:dyDescent="0.3">
      <c r="L87" s="645"/>
      <c r="M87" s="673"/>
      <c r="N87" s="673"/>
      <c r="O87" s="64" t="s">
        <v>14</v>
      </c>
      <c r="P87" s="74">
        <v>1403</v>
      </c>
      <c r="Q87" s="3">
        <v>1975</v>
      </c>
      <c r="R87" s="3">
        <v>3378</v>
      </c>
      <c r="S87" s="3">
        <v>41.533451999999997</v>
      </c>
      <c r="T87" s="679"/>
    </row>
    <row r="88" spans="2:20" ht="16.5" thickTop="1" thickBot="1" x14ac:dyDescent="0.3">
      <c r="L88" s="646"/>
      <c r="M88" s="651" t="s">
        <v>2</v>
      </c>
      <c r="N88" s="652"/>
      <c r="O88" s="653"/>
      <c r="P88" s="65">
        <f>AVERAGE(P77:P83)</f>
        <v>1933</v>
      </c>
      <c r="Q88" s="65">
        <f>AVERAGE(Q77:Q83)</f>
        <v>1884</v>
      </c>
      <c r="R88" s="65">
        <f>AVERAGE(R77:R83)</f>
        <v>3817</v>
      </c>
      <c r="S88" s="654">
        <f>AVERAGE(S77:S87)</f>
        <v>51.278308666666668</v>
      </c>
      <c r="T88" s="655"/>
    </row>
  </sheetData>
  <mergeCells count="218">
    <mergeCell ref="S40:T40"/>
    <mergeCell ref="T5:T6"/>
    <mergeCell ref="T3:T4"/>
    <mergeCell ref="N9:N10"/>
    <mergeCell ref="N7:N8"/>
    <mergeCell ref="N5:N6"/>
    <mergeCell ref="N3:N4"/>
    <mergeCell ref="T16:T17"/>
    <mergeCell ref="T14:T15"/>
    <mergeCell ref="T12:T13"/>
    <mergeCell ref="S11:T11"/>
    <mergeCell ref="T7:T8"/>
    <mergeCell ref="S28:T28"/>
    <mergeCell ref="T31:T32"/>
    <mergeCell ref="T33:T34"/>
    <mergeCell ref="T38:T39"/>
    <mergeCell ref="T36:T37"/>
    <mergeCell ref="M40:O40"/>
    <mergeCell ref="M33:M35"/>
    <mergeCell ref="N20:O20"/>
    <mergeCell ref="T18:T19"/>
    <mergeCell ref="T29:T30"/>
    <mergeCell ref="S20:T20"/>
    <mergeCell ref="T21:T22"/>
    <mergeCell ref="J7:J8"/>
    <mergeCell ref="J9:J10"/>
    <mergeCell ref="J12:J13"/>
    <mergeCell ref="I11:J11"/>
    <mergeCell ref="J14:J15"/>
    <mergeCell ref="J16:J17"/>
    <mergeCell ref="J18:J19"/>
    <mergeCell ref="J30:J31"/>
    <mergeCell ref="J27:J28"/>
    <mergeCell ref="J21:J22"/>
    <mergeCell ref="J23:J24"/>
    <mergeCell ref="J25:J26"/>
    <mergeCell ref="B12:B20"/>
    <mergeCell ref="B30:B38"/>
    <mergeCell ref="D18:D19"/>
    <mergeCell ref="D30:D31"/>
    <mergeCell ref="D32:D33"/>
    <mergeCell ref="D20:E20"/>
    <mergeCell ref="D38:E38"/>
    <mergeCell ref="D34:D35"/>
    <mergeCell ref="D12:D13"/>
    <mergeCell ref="D36:D37"/>
    <mergeCell ref="L29:L40"/>
    <mergeCell ref="M36:M39"/>
    <mergeCell ref="N38:N39"/>
    <mergeCell ref="N36:N37"/>
    <mergeCell ref="C21:C29"/>
    <mergeCell ref="B21:B29"/>
    <mergeCell ref="D21:D22"/>
    <mergeCell ref="D23:D24"/>
    <mergeCell ref="D25:D26"/>
    <mergeCell ref="D27:D28"/>
    <mergeCell ref="D29:E29"/>
    <mergeCell ref="C30:C38"/>
    <mergeCell ref="J32:J33"/>
    <mergeCell ref="J34:J35"/>
    <mergeCell ref="J36:J37"/>
    <mergeCell ref="I29:J29"/>
    <mergeCell ref="N33:N34"/>
    <mergeCell ref="M29:M32"/>
    <mergeCell ref="N29:N30"/>
    <mergeCell ref="N31:N32"/>
    <mergeCell ref="N23:N24"/>
    <mergeCell ref="N21:N22"/>
    <mergeCell ref="I38:J38"/>
    <mergeCell ref="T23:T24"/>
    <mergeCell ref="M21:M25"/>
    <mergeCell ref="L21:L28"/>
    <mergeCell ref="M28:O28"/>
    <mergeCell ref="M26:M27"/>
    <mergeCell ref="N26:N27"/>
    <mergeCell ref="T26:T27"/>
    <mergeCell ref="L3:L11"/>
    <mergeCell ref="M3:M11"/>
    <mergeCell ref="N16:N17"/>
    <mergeCell ref="N14:N15"/>
    <mergeCell ref="N12:N13"/>
    <mergeCell ref="L12:L20"/>
    <mergeCell ref="M12:M20"/>
    <mergeCell ref="N18:N19"/>
    <mergeCell ref="T9:T10"/>
    <mergeCell ref="B1:J1"/>
    <mergeCell ref="V3:V4"/>
    <mergeCell ref="Z3:AB3"/>
    <mergeCell ref="W3:Y3"/>
    <mergeCell ref="W18:X18"/>
    <mergeCell ref="Y11:Z11"/>
    <mergeCell ref="W11:X11"/>
    <mergeCell ref="V18:V19"/>
    <mergeCell ref="V11:V12"/>
    <mergeCell ref="L1:T1"/>
    <mergeCell ref="D14:D15"/>
    <mergeCell ref="D16:D17"/>
    <mergeCell ref="C3:C11"/>
    <mergeCell ref="C12:C20"/>
    <mergeCell ref="J3:J4"/>
    <mergeCell ref="D3:D4"/>
    <mergeCell ref="D5:D6"/>
    <mergeCell ref="D7:D8"/>
    <mergeCell ref="D9:D10"/>
    <mergeCell ref="B3:B11"/>
    <mergeCell ref="D11:E11"/>
    <mergeCell ref="N11:O11"/>
    <mergeCell ref="J5:J6"/>
    <mergeCell ref="I20:J20"/>
    <mergeCell ref="B49:J49"/>
    <mergeCell ref="L49:T49"/>
    <mergeCell ref="B51:B59"/>
    <mergeCell ref="C51:C59"/>
    <mergeCell ref="D51:D52"/>
    <mergeCell ref="J51:J52"/>
    <mergeCell ref="L51:L59"/>
    <mergeCell ref="M51:M59"/>
    <mergeCell ref="N51:N52"/>
    <mergeCell ref="T51:T52"/>
    <mergeCell ref="D53:D54"/>
    <mergeCell ref="J53:J54"/>
    <mergeCell ref="N53:N54"/>
    <mergeCell ref="T53:T54"/>
    <mergeCell ref="D55:D56"/>
    <mergeCell ref="J55:J56"/>
    <mergeCell ref="N55:N56"/>
    <mergeCell ref="T55:T56"/>
    <mergeCell ref="D57:D58"/>
    <mergeCell ref="J57:J58"/>
    <mergeCell ref="N57:N58"/>
    <mergeCell ref="T57:T58"/>
    <mergeCell ref="D59:E59"/>
    <mergeCell ref="I59:J59"/>
    <mergeCell ref="B60:B68"/>
    <mergeCell ref="C60:C68"/>
    <mergeCell ref="D60:D61"/>
    <mergeCell ref="J60:J61"/>
    <mergeCell ref="L60:L68"/>
    <mergeCell ref="M60:M68"/>
    <mergeCell ref="N60:N61"/>
    <mergeCell ref="T60:T61"/>
    <mergeCell ref="D62:D63"/>
    <mergeCell ref="J62:J63"/>
    <mergeCell ref="N62:N63"/>
    <mergeCell ref="T62:T63"/>
    <mergeCell ref="D64:D65"/>
    <mergeCell ref="J64:J65"/>
    <mergeCell ref="N64:N65"/>
    <mergeCell ref="T64:T65"/>
    <mergeCell ref="D66:D67"/>
    <mergeCell ref="J66:J67"/>
    <mergeCell ref="N66:N67"/>
    <mergeCell ref="T66:T67"/>
    <mergeCell ref="D68:E68"/>
    <mergeCell ref="I68:J68"/>
    <mergeCell ref="C69:C77"/>
    <mergeCell ref="D69:D70"/>
    <mergeCell ref="J69:J70"/>
    <mergeCell ref="L69:L76"/>
    <mergeCell ref="M69:M73"/>
    <mergeCell ref="N69:N70"/>
    <mergeCell ref="T69:T70"/>
    <mergeCell ref="D71:D72"/>
    <mergeCell ref="J71:J72"/>
    <mergeCell ref="N71:N72"/>
    <mergeCell ref="T71:T72"/>
    <mergeCell ref="D73:D74"/>
    <mergeCell ref="J73:J74"/>
    <mergeCell ref="M74:M75"/>
    <mergeCell ref="N74:N75"/>
    <mergeCell ref="T74:T75"/>
    <mergeCell ref="D75:D76"/>
    <mergeCell ref="J75:J76"/>
    <mergeCell ref="M76:O76"/>
    <mergeCell ref="S76:T76"/>
    <mergeCell ref="D77:E77"/>
    <mergeCell ref="I77:J77"/>
    <mergeCell ref="B78:B86"/>
    <mergeCell ref="C78:C86"/>
    <mergeCell ref="D78:D79"/>
    <mergeCell ref="J78:J79"/>
    <mergeCell ref="N79:N80"/>
    <mergeCell ref="T79:T80"/>
    <mergeCell ref="D80:D81"/>
    <mergeCell ref="J80:J81"/>
    <mergeCell ref="M81:M83"/>
    <mergeCell ref="N81:N82"/>
    <mergeCell ref="T81:T82"/>
    <mergeCell ref="D82:D83"/>
    <mergeCell ref="J82:J83"/>
    <mergeCell ref="D84:D85"/>
    <mergeCell ref="J84:J85"/>
    <mergeCell ref="M84:M87"/>
    <mergeCell ref="N84:N85"/>
    <mergeCell ref="T84:T85"/>
    <mergeCell ref="D86:E86"/>
    <mergeCell ref="I86:J86"/>
    <mergeCell ref="N86:N87"/>
    <mergeCell ref="T86:T87"/>
    <mergeCell ref="L77:L88"/>
    <mergeCell ref="B69:B77"/>
    <mergeCell ref="M88:O88"/>
    <mergeCell ref="S88:T88"/>
    <mergeCell ref="V51:V52"/>
    <mergeCell ref="W51:Y51"/>
    <mergeCell ref="Z51:AB51"/>
    <mergeCell ref="V59:V60"/>
    <mergeCell ref="W59:X59"/>
    <mergeCell ref="Y59:Z59"/>
    <mergeCell ref="V66:V67"/>
    <mergeCell ref="W66:X66"/>
    <mergeCell ref="M77:M80"/>
    <mergeCell ref="N77:N78"/>
    <mergeCell ref="T77:T78"/>
    <mergeCell ref="N68:O68"/>
    <mergeCell ref="S68:T68"/>
    <mergeCell ref="N59:O59"/>
    <mergeCell ref="S59:T59"/>
  </mergeCells>
  <conditionalFormatting sqref="W13:Z16 W20:X23">
    <cfRule type="cellIs" dxfId="64" priority="3" stopIfTrue="1" operator="lessThan">
      <formula>0.025</formula>
    </cfRule>
    <cfRule type="cellIs" dxfId="63" priority="4" operator="lessThan">
      <formula>0.05</formula>
    </cfRule>
  </conditionalFormatting>
  <conditionalFormatting sqref="W61:Z64 W68:X71">
    <cfRule type="cellIs" dxfId="62" priority="1" stopIfTrue="1" operator="lessThan">
      <formula>0.025</formula>
    </cfRule>
    <cfRule type="cellIs" dxfId="61" priority="2" operator="lessThan">
      <formula>0.05</formula>
    </cfRule>
  </conditionalFormatting>
  <hyperlinks>
    <hyperlink ref="A1" location="'Table of Contents'!A1" display="Table of Contents" xr:uid="{948328E4-DDD9-4245-B25F-4669F3A9B4D5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71A6-106C-44DB-9B45-3F3FC3B4B1B1}">
  <dimension ref="A1:AB151"/>
  <sheetViews>
    <sheetView zoomScaleNormal="100" workbookViewId="0">
      <pane ySplit="2" topLeftCell="A3" activePane="bottomLeft" state="frozen"/>
      <selection pane="bottomLeft" activeCell="Q42" sqref="Q42:V49"/>
    </sheetView>
  </sheetViews>
  <sheetFormatPr defaultRowHeight="15" x14ac:dyDescent="0.25"/>
  <cols>
    <col min="1" max="1" width="16.85546875" customWidth="1"/>
    <col min="2" max="2" width="12.42578125" customWidth="1"/>
    <col min="3" max="3" width="12.5703125" bestFit="1" customWidth="1"/>
    <col min="4" max="4" width="8.85546875" customWidth="1"/>
    <col min="5" max="5" width="11.140625" customWidth="1"/>
    <col min="6" max="7" width="11.28515625" customWidth="1"/>
    <col min="8" max="8" width="12.5703125" customWidth="1"/>
    <col min="9" max="9" width="8.28515625" customWidth="1"/>
    <col min="10" max="10" width="15.28515625" customWidth="1"/>
    <col min="11" max="11" width="10.28515625" customWidth="1"/>
    <col min="12" max="12" width="9.7109375" customWidth="1"/>
    <col min="13" max="13" width="10.140625" customWidth="1"/>
    <col min="15" max="15" width="8.85546875" customWidth="1"/>
    <col min="16" max="16" width="12" customWidth="1"/>
    <col min="17" max="17" width="7.140625" customWidth="1"/>
    <col min="18" max="18" width="8.140625" customWidth="1"/>
    <col min="19" max="19" width="7.28515625" customWidth="1"/>
    <col min="20" max="20" width="7.42578125" customWidth="1"/>
    <col min="21" max="21" width="7.28515625" customWidth="1"/>
    <col min="22" max="22" width="7.5703125" customWidth="1"/>
    <col min="23" max="23" width="7.7109375" customWidth="1"/>
    <col min="24" max="24" width="9" customWidth="1"/>
    <col min="25" max="25" width="7" customWidth="1"/>
  </cols>
  <sheetData>
    <row r="1" spans="1:28" x14ac:dyDescent="0.25">
      <c r="A1" s="1" t="s">
        <v>9</v>
      </c>
      <c r="B1" s="627" t="s">
        <v>10</v>
      </c>
      <c r="C1" s="635" t="s">
        <v>8</v>
      </c>
      <c r="D1" s="702" t="s">
        <v>56</v>
      </c>
      <c r="E1" s="701" t="s">
        <v>114</v>
      </c>
      <c r="F1" s="638" t="s">
        <v>115</v>
      </c>
      <c r="G1" s="630" t="s">
        <v>482</v>
      </c>
      <c r="H1" s="635" t="s">
        <v>129</v>
      </c>
      <c r="I1" s="632" t="s">
        <v>84</v>
      </c>
      <c r="J1" s="633"/>
      <c r="K1" s="632" t="s">
        <v>85</v>
      </c>
      <c r="L1" s="634"/>
      <c r="M1" s="633"/>
      <c r="N1" s="632" t="s">
        <v>152</v>
      </c>
      <c r="O1" s="634"/>
      <c r="P1" s="633"/>
      <c r="Q1" s="632" t="s">
        <v>179</v>
      </c>
      <c r="R1" s="634"/>
      <c r="S1" s="633"/>
      <c r="T1" s="634" t="s">
        <v>180</v>
      </c>
      <c r="U1" s="634"/>
      <c r="V1" s="633"/>
      <c r="W1" s="634" t="s">
        <v>181</v>
      </c>
      <c r="X1" s="634"/>
      <c r="Y1" s="637"/>
      <c r="Z1" s="645" t="s">
        <v>419</v>
      </c>
    </row>
    <row r="2" spans="1:28" ht="15.75" thickBot="1" x14ac:dyDescent="0.3">
      <c r="B2" s="629"/>
      <c r="C2" s="636"/>
      <c r="D2" s="703"/>
      <c r="E2" s="684"/>
      <c r="F2" s="639"/>
      <c r="G2" s="631"/>
      <c r="H2" s="636"/>
      <c r="I2" s="269" t="s">
        <v>57</v>
      </c>
      <c r="J2" s="270" t="s">
        <v>146</v>
      </c>
      <c r="K2" s="269" t="s">
        <v>57</v>
      </c>
      <c r="L2" s="33" t="s">
        <v>173</v>
      </c>
      <c r="M2" s="270" t="s">
        <v>174</v>
      </c>
      <c r="N2" s="269" t="s">
        <v>175</v>
      </c>
      <c r="O2" s="33" t="s">
        <v>173</v>
      </c>
      <c r="P2" s="270" t="s">
        <v>176</v>
      </c>
      <c r="Q2" s="33" t="s">
        <v>57</v>
      </c>
      <c r="R2" s="209" t="s">
        <v>173</v>
      </c>
      <c r="S2" s="206" t="s">
        <v>174</v>
      </c>
      <c r="T2" s="33" t="s">
        <v>57</v>
      </c>
      <c r="U2" s="209" t="s">
        <v>173</v>
      </c>
      <c r="V2" s="206" t="s">
        <v>174</v>
      </c>
      <c r="W2" s="33" t="s">
        <v>57</v>
      </c>
      <c r="X2" s="209" t="s">
        <v>173</v>
      </c>
      <c r="Y2" s="290" t="s">
        <v>174</v>
      </c>
      <c r="Z2" s="645"/>
      <c r="AA2" s="124"/>
      <c r="AB2" s="124"/>
    </row>
    <row r="3" spans="1:28" x14ac:dyDescent="0.25">
      <c r="B3" s="627" t="s">
        <v>92</v>
      </c>
      <c r="C3" s="635" t="s">
        <v>24</v>
      </c>
      <c r="D3" s="196" t="s">
        <v>46</v>
      </c>
      <c r="E3" s="201">
        <f>Weights!I3</f>
        <v>1.86</v>
      </c>
      <c r="F3" s="212">
        <f>Weights!M3</f>
        <v>0.47499999999999998</v>
      </c>
      <c r="G3" s="205">
        <f>100-(F3/E3*100)</f>
        <v>74.462365591397855</v>
      </c>
      <c r="H3" s="205">
        <f>'Alamar Blue - Analysis'!F4</f>
        <v>1.2653061224489797</v>
      </c>
      <c r="I3" s="8">
        <f>Picogreen!F46</f>
        <v>71.265763333333325</v>
      </c>
      <c r="J3" s="202">
        <f>I3/F3</f>
        <v>150.03318596491226</v>
      </c>
      <c r="K3" s="8">
        <f>DMMB!F54</f>
        <v>252.6724999999999</v>
      </c>
      <c r="L3" s="8">
        <f>K3*1000/I3</f>
        <v>3545.4962969829967</v>
      </c>
      <c r="M3" s="8">
        <f>K3/F3</f>
        <v>531.94210526315771</v>
      </c>
      <c r="N3" s="251">
        <f>OHP!G46</f>
        <v>89.528755174385878</v>
      </c>
      <c r="O3" s="8">
        <f>(N3*1000)/I3</f>
        <v>1256.2659962769296</v>
      </c>
      <c r="P3" s="202">
        <f>N3/F3</f>
        <v>188.48158984081238</v>
      </c>
      <c r="Q3" s="279"/>
      <c r="R3" s="279"/>
      <c r="S3" s="280"/>
      <c r="T3" s="279"/>
      <c r="U3" s="279"/>
      <c r="V3" s="280"/>
      <c r="W3" s="279"/>
      <c r="X3" s="279"/>
      <c r="Y3" s="400"/>
      <c r="Z3">
        <f>E3/F3</f>
        <v>3.9157894736842107</v>
      </c>
    </row>
    <row r="4" spans="1:28" x14ac:dyDescent="0.25">
      <c r="B4" s="628"/>
      <c r="C4" s="657"/>
      <c r="D4" s="198" t="s">
        <v>44</v>
      </c>
      <c r="E4" s="199">
        <f>Weights!I4</f>
        <v>1.8800000000000001</v>
      </c>
      <c r="F4" s="347"/>
      <c r="G4" s="273"/>
      <c r="H4" s="204">
        <f>'Alamar Blue - Analysis'!F5</f>
        <v>1.3265306122448979</v>
      </c>
      <c r="I4" s="271"/>
      <c r="J4" s="272"/>
      <c r="K4" s="271"/>
      <c r="L4" s="271"/>
      <c r="M4" s="271"/>
      <c r="N4" s="274"/>
      <c r="O4" s="271"/>
      <c r="P4" s="272"/>
      <c r="Q4" s="271"/>
      <c r="R4" s="271"/>
      <c r="S4" s="272"/>
      <c r="T4" s="271"/>
      <c r="U4" s="271"/>
      <c r="V4" s="272"/>
      <c r="W4" s="271"/>
      <c r="X4" s="271"/>
      <c r="Y4" s="384"/>
    </row>
    <row r="5" spans="1:28" x14ac:dyDescent="0.25">
      <c r="B5" s="628"/>
      <c r="C5" s="657"/>
      <c r="D5" s="197" t="s">
        <v>45</v>
      </c>
      <c r="E5" s="199">
        <f>Weights!I5</f>
        <v>1.7666666666666666</v>
      </c>
      <c r="F5" s="124">
        <f>Weights!M5</f>
        <v>0.47499999999999998</v>
      </c>
      <c r="G5" s="204">
        <f t="shared" ref="G5:G75" si="0">100-(F5/E5*100)</f>
        <v>73.113207547169807</v>
      </c>
      <c r="H5" s="204">
        <f>'Alamar Blue - Analysis'!F6</f>
        <v>1.3061224489795917</v>
      </c>
      <c r="I5">
        <f>Picogreen!F47</f>
        <v>73.461063333333328</v>
      </c>
      <c r="J5" s="132">
        <f t="shared" ref="J5:J10" si="1">I5/F5</f>
        <v>154.65487017543859</v>
      </c>
      <c r="K5">
        <f>DMMB!F55</f>
        <v>288.76999999999992</v>
      </c>
      <c r="L5">
        <f t="shared" ref="L5:L10" si="2">K5*1000/I5</f>
        <v>3930.9259476641564</v>
      </c>
      <c r="M5">
        <f>K5/F5</f>
        <v>607.93684210526305</v>
      </c>
      <c r="N5" s="79">
        <f>OHP!G47</f>
        <v>79.833319305260872</v>
      </c>
      <c r="O5">
        <f>(N5*1000)/I5</f>
        <v>1086.7433124812405</v>
      </c>
      <c r="P5" s="132">
        <f>N5/F5</f>
        <v>168.07014590581238</v>
      </c>
      <c r="Q5" s="271"/>
      <c r="R5" s="271"/>
      <c r="S5" s="272"/>
      <c r="T5" s="271"/>
      <c r="U5" s="271"/>
      <c r="V5" s="272"/>
      <c r="W5" s="271"/>
      <c r="X5" s="271"/>
      <c r="Y5" s="384"/>
      <c r="Z5">
        <f t="shared" ref="Z5:Z75" si="3">E5/F5</f>
        <v>3.7192982456140351</v>
      </c>
    </row>
    <row r="6" spans="1:28" x14ac:dyDescent="0.25">
      <c r="B6" s="628"/>
      <c r="C6" s="657"/>
      <c r="D6" s="197" t="s">
        <v>47</v>
      </c>
      <c r="E6" s="199">
        <f>Weights!I6</f>
        <v>1.59</v>
      </c>
      <c r="F6" s="124">
        <f>Weights!M6</f>
        <v>0.44500000000000001</v>
      </c>
      <c r="G6" s="204">
        <f t="shared" si="0"/>
        <v>72.012578616352201</v>
      </c>
      <c r="H6" s="204">
        <f>'Alamar Blue - Analysis'!F7</f>
        <v>1.2380952380952381</v>
      </c>
      <c r="I6">
        <f>Picogreen!F48</f>
        <v>106.39056333333333</v>
      </c>
      <c r="J6" s="132">
        <f t="shared" si="1"/>
        <v>239.07991760299626</v>
      </c>
      <c r="K6">
        <f>DMMB!F56</f>
        <v>262.29849999999982</v>
      </c>
      <c r="L6">
        <f t="shared" si="2"/>
        <v>2465.4301263373313</v>
      </c>
      <c r="M6">
        <f>K6/F6</f>
        <v>589.43483146067376</v>
      </c>
      <c r="N6" s="79">
        <f>OHP!G48</f>
        <v>86.147925952010866</v>
      </c>
      <c r="O6">
        <f>(N6*1000)/I6</f>
        <v>809.73277378088449</v>
      </c>
      <c r="P6" s="132">
        <f>N6/F6</f>
        <v>193.59084483597948</v>
      </c>
      <c r="Q6" s="271"/>
      <c r="R6" s="271"/>
      <c r="S6" s="272"/>
      <c r="T6" s="271"/>
      <c r="U6" s="271"/>
      <c r="V6" s="272"/>
      <c r="W6" s="271"/>
      <c r="X6" s="271"/>
      <c r="Y6" s="384"/>
      <c r="Z6">
        <f t="shared" si="3"/>
        <v>3.5730337078651688</v>
      </c>
    </row>
    <row r="7" spans="1:28" x14ac:dyDescent="0.25">
      <c r="B7" s="628"/>
      <c r="C7" s="657"/>
      <c r="D7" s="198" t="s">
        <v>48</v>
      </c>
      <c r="E7" s="199">
        <f>Weights!I7</f>
        <v>2.5366666666666666</v>
      </c>
      <c r="F7" s="347"/>
      <c r="G7" s="273"/>
      <c r="H7" s="204">
        <f>'Alamar Blue - Analysis'!F8</f>
        <v>1.2108843537414966</v>
      </c>
      <c r="I7" s="271"/>
      <c r="J7" s="272"/>
      <c r="K7" s="271"/>
      <c r="L7" s="271"/>
      <c r="M7" s="271"/>
      <c r="N7" s="274"/>
      <c r="O7" s="271"/>
      <c r="P7" s="272"/>
      <c r="Q7" s="271"/>
      <c r="R7" s="271"/>
      <c r="S7" s="272"/>
      <c r="T7" s="271"/>
      <c r="U7" s="271"/>
      <c r="V7" s="272"/>
      <c r="W7" s="271"/>
      <c r="X7" s="271"/>
      <c r="Y7" s="384"/>
    </row>
    <row r="8" spans="1:28" x14ac:dyDescent="0.25">
      <c r="B8" s="628"/>
      <c r="C8" s="658"/>
      <c r="D8" s="249" t="s">
        <v>49</v>
      </c>
      <c r="E8" s="250">
        <f>Weights!I8</f>
        <v>1.4100000000000001</v>
      </c>
      <c r="F8" s="77">
        <f>Weights!M8</f>
        <v>0.31</v>
      </c>
      <c r="G8" s="247">
        <f t="shared" si="0"/>
        <v>78.01418439716312</v>
      </c>
      <c r="H8" s="247">
        <f>'Alamar Blue - Analysis'!F9</f>
        <v>1.3129251700680271</v>
      </c>
      <c r="I8" s="162">
        <f>Picogreen!F49</f>
        <v>50.410413333333324</v>
      </c>
      <c r="J8" s="134">
        <f t="shared" si="1"/>
        <v>162.61423655913975</v>
      </c>
      <c r="K8" s="162">
        <f>DMMB!F57</f>
        <v>255.07900000000024</v>
      </c>
      <c r="L8" s="162">
        <f t="shared" si="2"/>
        <v>5060.0457947709801</v>
      </c>
      <c r="M8" s="162">
        <f>K8/F8</f>
        <v>822.83548387096846</v>
      </c>
      <c r="N8" s="138">
        <f>OHP!G49</f>
        <v>70.556994496760879</v>
      </c>
      <c r="O8" s="162">
        <f>(N8*1000)/I8</f>
        <v>1399.6511798110143</v>
      </c>
      <c r="P8" s="134">
        <f>N8/F8</f>
        <v>227.60320805406735</v>
      </c>
      <c r="Q8" s="281"/>
      <c r="R8" s="285"/>
      <c r="S8" s="286"/>
      <c r="T8" s="285"/>
      <c r="U8" s="285"/>
      <c r="V8" s="286"/>
      <c r="W8" s="285"/>
      <c r="X8" s="285"/>
      <c r="Y8" s="438"/>
      <c r="Z8">
        <f t="shared" si="3"/>
        <v>4.5483870967741939</v>
      </c>
      <c r="AA8" s="124"/>
      <c r="AB8" s="124"/>
    </row>
    <row r="9" spans="1:28" x14ac:dyDescent="0.25">
      <c r="B9" s="628"/>
      <c r="C9" s="680" t="s">
        <v>210</v>
      </c>
      <c r="D9" s="197" t="s">
        <v>46</v>
      </c>
      <c r="E9" s="199">
        <f>Weights!I98</f>
        <v>2.9733333333333332</v>
      </c>
      <c r="F9" s="124">
        <f>Weights!M98</f>
        <v>0.57999999999999996</v>
      </c>
      <c r="G9" s="204">
        <f t="shared" si="0"/>
        <v>80.493273542600889</v>
      </c>
      <c r="H9" s="204">
        <f>'Alamar Blue - Analysis'!F11</f>
        <v>1.1153846153846154</v>
      </c>
      <c r="I9">
        <f>Picogreen!AY46</f>
        <v>52.829016153846148</v>
      </c>
      <c r="J9" s="132">
        <f t="shared" si="1"/>
        <v>91.084510610079576</v>
      </c>
      <c r="K9">
        <f>DMMB!AY54</f>
        <v>301.25220000000013</v>
      </c>
      <c r="L9">
        <f t="shared" si="2"/>
        <v>5702.400346103509</v>
      </c>
      <c r="M9">
        <f>K9/F9</f>
        <v>519.40034482758642</v>
      </c>
      <c r="N9" s="79">
        <f>OHP!CY46</f>
        <v>83.526359698329514</v>
      </c>
      <c r="O9">
        <f>(N9*1000)/I9</f>
        <v>1581.0697563454148</v>
      </c>
      <c r="P9" s="132">
        <f>N9/F9</f>
        <v>144.01096499711986</v>
      </c>
      <c r="Q9" s="271"/>
      <c r="R9" s="347"/>
      <c r="S9" s="273"/>
      <c r="T9" s="347"/>
      <c r="U9" s="347"/>
      <c r="V9" s="273"/>
      <c r="W9" s="347"/>
      <c r="X9" s="347"/>
      <c r="Y9" s="439"/>
      <c r="Z9">
        <f t="shared" si="3"/>
        <v>5.1264367816091951</v>
      </c>
    </row>
    <row r="10" spans="1:28" ht="15.75" thickBot="1" x14ac:dyDescent="0.3">
      <c r="B10" s="629"/>
      <c r="C10" s="636"/>
      <c r="D10" s="78" t="s">
        <v>44</v>
      </c>
      <c r="E10" s="200">
        <f>Weights!I99</f>
        <v>2.19</v>
      </c>
      <c r="F10" s="209">
        <f>Weights!M99</f>
        <v>0.63</v>
      </c>
      <c r="G10" s="206">
        <f t="shared" si="0"/>
        <v>71.232876712328761</v>
      </c>
      <c r="H10" s="206">
        <f>'Alamar Blue - Analysis'!F12</f>
        <v>1.1709401709401708</v>
      </c>
      <c r="I10" s="6">
        <f>Picogreen!AY47</f>
        <v>67.752536153846151</v>
      </c>
      <c r="J10" s="203">
        <f t="shared" si="1"/>
        <v>107.54370818070818</v>
      </c>
      <c r="K10" s="6">
        <f>DMMB!AY55</f>
        <v>379.82580000000013</v>
      </c>
      <c r="L10" s="6">
        <f t="shared" si="2"/>
        <v>5606.0750130080305</v>
      </c>
      <c r="M10" s="6">
        <f>K10/F10</f>
        <v>602.89809523809549</v>
      </c>
      <c r="N10" s="82">
        <f>OHP!CY47</f>
        <v>79.255318922079539</v>
      </c>
      <c r="O10" s="6">
        <f>(N10*1000)/I10</f>
        <v>1169.7764160756128</v>
      </c>
      <c r="P10" s="203">
        <f>N10/F10</f>
        <v>125.80209352711037</v>
      </c>
      <c r="Q10" s="276"/>
      <c r="R10" s="277"/>
      <c r="S10" s="275"/>
      <c r="T10" s="277"/>
      <c r="U10" s="277"/>
      <c r="V10" s="275"/>
      <c r="W10" s="277"/>
      <c r="X10" s="277"/>
      <c r="Y10" s="440"/>
      <c r="Z10">
        <f t="shared" si="3"/>
        <v>3.4761904761904763</v>
      </c>
    </row>
    <row r="11" spans="1:28" x14ac:dyDescent="0.25">
      <c r="B11" s="628" t="s">
        <v>142</v>
      </c>
      <c r="C11" s="657" t="s">
        <v>31</v>
      </c>
      <c r="D11" s="197" t="s">
        <v>46</v>
      </c>
      <c r="E11" s="199">
        <f>Weights!I14</f>
        <v>1.6766666666666667</v>
      </c>
      <c r="F11" s="124">
        <f>Weights!M14</f>
        <v>0.52500000000000002</v>
      </c>
      <c r="G11" s="204">
        <f t="shared" si="0"/>
        <v>68.687872763419477</v>
      </c>
      <c r="H11" s="204">
        <f>'Alamar Blue - Analysis'!F15</f>
        <v>1.1481481481481481</v>
      </c>
      <c r="I11">
        <f>Picogreen!U46</f>
        <v>105.74343571428571</v>
      </c>
      <c r="J11" s="132">
        <f t="shared" ref="J11:J49" si="4">I11/F11</f>
        <v>201.41606802721086</v>
      </c>
      <c r="K11">
        <f>DMMB!U54</f>
        <v>323.18100000000015</v>
      </c>
      <c r="L11">
        <f t="shared" ref="L11:L31" si="5">K11*1000/I11</f>
        <v>3056.2748204363397</v>
      </c>
      <c r="M11">
        <f t="shared" ref="M11:M31" si="6">K11/F11</f>
        <v>615.58285714285739</v>
      </c>
      <c r="N11" s="79">
        <f>OHP!AM46</f>
        <v>137.46620219113638</v>
      </c>
      <c r="O11">
        <f t="shared" ref="O11:O36" si="7">(N11*1000)/I11</f>
        <v>1299.9975011457377</v>
      </c>
      <c r="P11" s="132">
        <f t="shared" ref="P11:P36" si="8">N11/F11</f>
        <v>261.84038512597402</v>
      </c>
      <c r="Q11" s="271"/>
      <c r="R11" s="271"/>
      <c r="S11" s="272"/>
      <c r="T11" s="271"/>
      <c r="U11" s="271"/>
      <c r="V11" s="272"/>
      <c r="W11" s="271"/>
      <c r="X11" s="271"/>
      <c r="Y11" s="384"/>
      <c r="Z11">
        <f t="shared" si="3"/>
        <v>3.1936507936507939</v>
      </c>
    </row>
    <row r="12" spans="1:28" x14ac:dyDescent="0.25">
      <c r="B12" s="628"/>
      <c r="C12" s="657"/>
      <c r="D12" s="197" t="s">
        <v>44</v>
      </c>
      <c r="E12" s="199">
        <f>Weights!I15</f>
        <v>1.6866666666666665</v>
      </c>
      <c r="F12" s="124">
        <f>Weights!M15</f>
        <v>0.48333333333333339</v>
      </c>
      <c r="G12" s="204">
        <f t="shared" si="0"/>
        <v>71.343873517786562</v>
      </c>
      <c r="H12" s="204">
        <f>'Alamar Blue - Analysis'!F16</f>
        <v>0.9907407407407407</v>
      </c>
      <c r="I12">
        <f>Picogreen!U47</f>
        <v>94.925285714285721</v>
      </c>
      <c r="J12" s="132">
        <f t="shared" si="4"/>
        <v>196.39714285714285</v>
      </c>
      <c r="K12">
        <f>DMMB!U55</f>
        <v>319.0390000000001</v>
      </c>
      <c r="L12">
        <f t="shared" si="5"/>
        <v>3360.948535464735</v>
      </c>
      <c r="M12">
        <f t="shared" si="6"/>
        <v>660.08068965517259</v>
      </c>
      <c r="N12" s="79">
        <f>OHP!AM47</f>
        <v>102.10674501613634</v>
      </c>
      <c r="O12">
        <f t="shared" si="7"/>
        <v>1075.6538076004954</v>
      </c>
      <c r="P12" s="132">
        <f t="shared" si="8"/>
        <v>211.25533451614413</v>
      </c>
      <c r="Q12" s="271"/>
      <c r="R12" s="271"/>
      <c r="S12" s="272"/>
      <c r="T12" s="271"/>
      <c r="U12" s="271"/>
      <c r="V12" s="272"/>
      <c r="W12" s="271"/>
      <c r="X12" s="271"/>
      <c r="Y12" s="384"/>
      <c r="Z12">
        <f t="shared" si="3"/>
        <v>3.4896551724137925</v>
      </c>
    </row>
    <row r="13" spans="1:28" x14ac:dyDescent="0.25">
      <c r="B13" s="628"/>
      <c r="C13" s="657"/>
      <c r="D13" s="197" t="s">
        <v>45</v>
      </c>
      <c r="E13" s="199">
        <f>Weights!I16</f>
        <v>1.4966666666666668</v>
      </c>
      <c r="F13" s="124">
        <f>Weights!M16</f>
        <v>0.51</v>
      </c>
      <c r="G13" s="204">
        <f t="shared" si="0"/>
        <v>65.924276169265028</v>
      </c>
      <c r="H13" s="204">
        <f>'Alamar Blue - Analysis'!F17</f>
        <v>1.5092592592592593</v>
      </c>
      <c r="I13">
        <f>Picogreen!U48</f>
        <v>78.4404857142857</v>
      </c>
      <c r="J13" s="132">
        <f t="shared" si="4"/>
        <v>153.80487394957981</v>
      </c>
      <c r="K13">
        <f>DMMB!U56</f>
        <v>273.4770000000002</v>
      </c>
      <c r="L13">
        <f t="shared" si="5"/>
        <v>3486.4266521260733</v>
      </c>
      <c r="M13">
        <f t="shared" si="6"/>
        <v>536.22941176470624</v>
      </c>
      <c r="N13" s="79">
        <f>OHP!AM48</f>
        <v>112.95993350413637</v>
      </c>
      <c r="O13">
        <f t="shared" si="7"/>
        <v>1440.0718261177715</v>
      </c>
      <c r="P13" s="132">
        <f t="shared" si="8"/>
        <v>221.49006569438504</v>
      </c>
      <c r="Q13" s="271"/>
      <c r="R13" s="271"/>
      <c r="S13" s="272"/>
      <c r="T13" s="271"/>
      <c r="U13" s="271"/>
      <c r="V13" s="272"/>
      <c r="W13" s="271"/>
      <c r="X13" s="271"/>
      <c r="Y13" s="384"/>
      <c r="Z13">
        <f t="shared" si="3"/>
        <v>2.9346405228758172</v>
      </c>
    </row>
    <row r="14" spans="1:28" x14ac:dyDescent="0.25">
      <c r="B14" s="628"/>
      <c r="C14" s="657"/>
      <c r="D14" s="197" t="s">
        <v>47</v>
      </c>
      <c r="E14" s="199">
        <f>Weights!I17</f>
        <v>1.4533333333333334</v>
      </c>
      <c r="F14" s="124">
        <f>Weights!M17</f>
        <v>0.51</v>
      </c>
      <c r="G14" s="204">
        <f t="shared" si="0"/>
        <v>64.908256880733944</v>
      </c>
      <c r="H14" s="204">
        <f>'Alamar Blue - Analysis'!F18</f>
        <v>0.77777777777777779</v>
      </c>
      <c r="I14">
        <f>Picogreen!U49</f>
        <v>86.682885714285717</v>
      </c>
      <c r="J14" s="132">
        <f t="shared" si="4"/>
        <v>169.96644257703082</v>
      </c>
      <c r="K14">
        <f>DMMB!U57</f>
        <v>287.97399999999993</v>
      </c>
      <c r="L14">
        <f t="shared" si="5"/>
        <v>3322.1552054599006</v>
      </c>
      <c r="M14">
        <f t="shared" si="6"/>
        <v>564.65490196078417</v>
      </c>
      <c r="N14" s="79">
        <f>OHP!AM49</f>
        <v>106.75398795913635</v>
      </c>
      <c r="O14">
        <f t="shared" si="7"/>
        <v>1231.5463090489018</v>
      </c>
      <c r="P14" s="132">
        <f t="shared" si="8"/>
        <v>209.32154501791442</v>
      </c>
      <c r="Q14" s="271"/>
      <c r="R14" s="271"/>
      <c r="S14" s="272"/>
      <c r="T14" s="271"/>
      <c r="U14" s="271"/>
      <c r="V14" s="272"/>
      <c r="W14" s="271"/>
      <c r="X14" s="271"/>
      <c r="Y14" s="384"/>
      <c r="Z14">
        <f t="shared" si="3"/>
        <v>2.8496732026143792</v>
      </c>
      <c r="AA14" s="124"/>
      <c r="AB14" s="124"/>
    </row>
    <row r="15" spans="1:28" x14ac:dyDescent="0.25">
      <c r="B15" s="628"/>
      <c r="C15" s="657"/>
      <c r="D15" s="197" t="s">
        <v>48</v>
      </c>
      <c r="E15" s="199">
        <f>Weights!I18</f>
        <v>1.1733333333333336</v>
      </c>
      <c r="F15" s="124">
        <f>Weights!M18</f>
        <v>0.47499999999999998</v>
      </c>
      <c r="G15" s="204">
        <f t="shared" si="0"/>
        <v>59.517045454545467</v>
      </c>
      <c r="H15" s="204">
        <f>'Alamar Blue - Analysis'!F19</f>
        <v>1.5</v>
      </c>
      <c r="I15">
        <f>Picogreen!U50</f>
        <v>93.379835714285718</v>
      </c>
      <c r="J15" s="132">
        <f t="shared" si="4"/>
        <v>196.58912781954888</v>
      </c>
      <c r="K15">
        <f>DMMB!U58</f>
        <v>312.82600000000014</v>
      </c>
      <c r="L15">
        <f t="shared" si="5"/>
        <v>3350.0380205974429</v>
      </c>
      <c r="M15">
        <f t="shared" si="6"/>
        <v>658.58105263157927</v>
      </c>
      <c r="N15" s="79">
        <f>OHP!AM50</f>
        <v>99.62436679813635</v>
      </c>
      <c r="O15">
        <f t="shared" si="7"/>
        <v>1066.8723717072819</v>
      </c>
      <c r="P15" s="132">
        <f t="shared" si="8"/>
        <v>209.73550904870811</v>
      </c>
      <c r="Q15" s="271"/>
      <c r="R15" s="271"/>
      <c r="S15" s="272"/>
      <c r="T15" s="271"/>
      <c r="U15" s="271"/>
      <c r="V15" s="272"/>
      <c r="W15" s="271"/>
      <c r="X15" s="271"/>
      <c r="Y15" s="384"/>
      <c r="Z15">
        <f t="shared" si="3"/>
        <v>2.4701754385964918</v>
      </c>
    </row>
    <row r="16" spans="1:28" x14ac:dyDescent="0.25">
      <c r="B16" s="628"/>
      <c r="C16" s="658"/>
      <c r="D16" s="249" t="s">
        <v>49</v>
      </c>
      <c r="E16" s="250">
        <f>Weights!I19</f>
        <v>1.6333333333333331</v>
      </c>
      <c r="F16" s="77">
        <f>Weights!M19</f>
        <v>0.51500000000000001</v>
      </c>
      <c r="G16" s="247">
        <f t="shared" si="0"/>
        <v>68.469387755102034</v>
      </c>
      <c r="H16" s="247">
        <f>'Alamar Blue - Analysis'!F20</f>
        <v>1.4444444444444444</v>
      </c>
      <c r="I16" s="162">
        <f>Picogreen!U51</f>
        <v>89.258635714285717</v>
      </c>
      <c r="J16" s="134">
        <f t="shared" si="4"/>
        <v>173.31773925104022</v>
      </c>
      <c r="K16" s="162">
        <f>DMMB!U59</f>
        <v>304.54200000000003</v>
      </c>
      <c r="L16" s="162">
        <f t="shared" si="5"/>
        <v>3411.9051625977131</v>
      </c>
      <c r="M16" s="162">
        <f t="shared" si="6"/>
        <v>591.34368932038842</v>
      </c>
      <c r="N16" s="138">
        <f>OHP!AM51</f>
        <v>107.96631220513635</v>
      </c>
      <c r="O16" s="162">
        <f t="shared" si="7"/>
        <v>1209.5895410135256</v>
      </c>
      <c r="P16" s="134">
        <f t="shared" si="8"/>
        <v>209.64332467016766</v>
      </c>
      <c r="Q16" s="281"/>
      <c r="R16" s="285"/>
      <c r="S16" s="286"/>
      <c r="T16" s="285"/>
      <c r="U16" s="285"/>
      <c r="V16" s="286"/>
      <c r="W16" s="285"/>
      <c r="X16" s="285"/>
      <c r="Y16" s="438"/>
      <c r="Z16">
        <f t="shared" si="3"/>
        <v>3.1715210355987051</v>
      </c>
    </row>
    <row r="17" spans="2:28" x14ac:dyDescent="0.25">
      <c r="B17" s="628"/>
      <c r="C17" s="657" t="s">
        <v>128</v>
      </c>
      <c r="D17" s="197" t="s">
        <v>117</v>
      </c>
      <c r="E17" s="199">
        <f>Weights!I58</f>
        <v>2.3200000000000003</v>
      </c>
      <c r="F17" s="124">
        <f>Weights!M58</f>
        <v>0.59</v>
      </c>
      <c r="G17" s="204">
        <f t="shared" si="0"/>
        <v>74.568965517241381</v>
      </c>
      <c r="H17" s="273"/>
      <c r="I17">
        <f>Picogreen!U72</f>
        <v>96.470735714285723</v>
      </c>
      <c r="J17" s="132">
        <f t="shared" si="4"/>
        <v>163.50972154963682</v>
      </c>
      <c r="K17">
        <f>DMMB!U80</f>
        <v>300.40000000000009</v>
      </c>
      <c r="L17">
        <f t="shared" si="5"/>
        <v>3113.8976786668773</v>
      </c>
      <c r="M17">
        <f t="shared" si="6"/>
        <v>509.15254237288156</v>
      </c>
      <c r="N17" s="79">
        <f>OHP!BC54</f>
        <v>132.37390507821425</v>
      </c>
      <c r="O17">
        <f t="shared" si="7"/>
        <v>1372.1664305563272</v>
      </c>
      <c r="P17" s="132">
        <f t="shared" si="8"/>
        <v>224.36255098002417</v>
      </c>
      <c r="Q17">
        <f>Rx!G18</f>
        <v>5.6085146446536146E-3</v>
      </c>
      <c r="R17">
        <f>Q17/I17</f>
        <v>5.8136953171624732E-5</v>
      </c>
      <c r="S17" s="132">
        <f>Q17/F17</f>
        <v>9.5059570248366351E-3</v>
      </c>
      <c r="T17">
        <f>Rx!K18</f>
        <v>2.8280419657087079</v>
      </c>
      <c r="U17">
        <f>T17/I17</f>
        <v>2.9315024341520821E-2</v>
      </c>
      <c r="V17" s="132">
        <f>T17/F17</f>
        <v>4.793291467302895</v>
      </c>
      <c r="W17" s="271"/>
      <c r="X17" s="271"/>
      <c r="Y17" s="384"/>
      <c r="Z17">
        <f t="shared" si="3"/>
        <v>3.9322033898305091</v>
      </c>
    </row>
    <row r="18" spans="2:28" x14ac:dyDescent="0.25">
      <c r="B18" s="628"/>
      <c r="C18" s="657"/>
      <c r="D18" s="197" t="s">
        <v>118</v>
      </c>
      <c r="E18" s="199">
        <f>Weights!I59</f>
        <v>2.6666666666666665</v>
      </c>
      <c r="F18" s="124">
        <f>Weights!M59</f>
        <v>0.60333333333333339</v>
      </c>
      <c r="G18" s="204">
        <f t="shared" si="0"/>
        <v>77.375</v>
      </c>
      <c r="H18" s="273"/>
      <c r="I18">
        <f>Picogreen!U73</f>
        <v>83.076835714285707</v>
      </c>
      <c r="J18" s="132">
        <f t="shared" si="4"/>
        <v>137.69641278610891</v>
      </c>
      <c r="K18">
        <f>DMMB!U81</f>
        <v>271.40599999999995</v>
      </c>
      <c r="L18">
        <f t="shared" si="5"/>
        <v>3266.9275095335579</v>
      </c>
      <c r="M18">
        <f t="shared" si="6"/>
        <v>449.84419889502749</v>
      </c>
      <c r="N18" s="79">
        <f>OHP!BC55</f>
        <v>128.3151453332143</v>
      </c>
      <c r="O18">
        <f t="shared" si="7"/>
        <v>1544.535781002905</v>
      </c>
      <c r="P18" s="132">
        <f t="shared" si="8"/>
        <v>212.67703646389108</v>
      </c>
      <c r="Q18">
        <f>Rx!G19</f>
        <v>2.9268478063629519E-3</v>
      </c>
      <c r="R18">
        <f>Q18/I18</f>
        <v>3.5230612495026187E-5</v>
      </c>
      <c r="S18" s="132">
        <f>Q18/F18</f>
        <v>4.8511289608225714E-3</v>
      </c>
      <c r="T18">
        <f>Rx!K19</f>
        <v>1.2849744077200731</v>
      </c>
      <c r="U18">
        <f>T18/I18</f>
        <v>1.5467300802588365E-2</v>
      </c>
      <c r="V18" s="132">
        <f>T18/F18</f>
        <v>2.1297918360001211</v>
      </c>
      <c r="W18" s="271"/>
      <c r="X18" s="271"/>
      <c r="Y18" s="384"/>
      <c r="Z18">
        <f t="shared" si="3"/>
        <v>4.4198895027624303</v>
      </c>
    </row>
    <row r="19" spans="2:28" x14ac:dyDescent="0.25">
      <c r="B19" s="628"/>
      <c r="C19" s="657"/>
      <c r="D19" s="197" t="s">
        <v>119</v>
      </c>
      <c r="E19" s="199">
        <f>Weights!I60</f>
        <v>2.5350000000000001</v>
      </c>
      <c r="F19" s="124">
        <f>Weights!M60</f>
        <v>0.6166666666666667</v>
      </c>
      <c r="G19" s="204">
        <f t="shared" si="0"/>
        <v>75.67389875082182</v>
      </c>
      <c r="H19" s="273"/>
      <c r="I19">
        <f>Picogreen!U74</f>
        <v>110.89493571428572</v>
      </c>
      <c r="J19" s="132">
        <f t="shared" si="4"/>
        <v>179.82962548262549</v>
      </c>
      <c r="K19">
        <f>DMMB!U82</f>
        <v>319.03900000000021</v>
      </c>
      <c r="L19">
        <f t="shared" si="5"/>
        <v>2876.9483290200506</v>
      </c>
      <c r="M19">
        <f t="shared" si="6"/>
        <v>517.36054054054091</v>
      </c>
      <c r="N19" s="79">
        <f>OHP!BC56</f>
        <v>135.21503689971428</v>
      </c>
      <c r="O19">
        <f t="shared" si="7"/>
        <v>1219.3075908181042</v>
      </c>
      <c r="P19" s="132">
        <f t="shared" si="8"/>
        <v>219.26762740494206</v>
      </c>
      <c r="Q19">
        <f>Rx!G20</f>
        <v>5.5165717816265053E-3</v>
      </c>
      <c r="R19">
        <f>Q19/I19</f>
        <v>4.9745930651329545E-5</v>
      </c>
      <c r="S19" s="132">
        <f>Q19/F19</f>
        <v>8.945792078313251E-3</v>
      </c>
      <c r="T19">
        <f>Rx!K20</f>
        <v>2.1800634182259362</v>
      </c>
      <c r="U19">
        <f>T19/I19</f>
        <v>1.9658818540124693E-2</v>
      </c>
      <c r="V19" s="132">
        <f>T19/F19</f>
        <v>3.5352379755015182</v>
      </c>
      <c r="W19" s="271"/>
      <c r="X19" s="271"/>
      <c r="Y19" s="384"/>
      <c r="Z19">
        <f t="shared" si="3"/>
        <v>4.1108108108108112</v>
      </c>
    </row>
    <row r="20" spans="2:28" x14ac:dyDescent="0.25">
      <c r="B20" s="628"/>
      <c r="C20" s="657"/>
      <c r="D20" s="197" t="s">
        <v>120</v>
      </c>
      <c r="E20" s="199">
        <f>Weights!I61</f>
        <v>2.0099999999999998</v>
      </c>
      <c r="F20" s="124">
        <f>Weights!M61</f>
        <v>0.53</v>
      </c>
      <c r="G20" s="204">
        <f t="shared" si="0"/>
        <v>73.631840796019901</v>
      </c>
      <c r="H20" s="273"/>
      <c r="I20">
        <f>Picogreen!U75</f>
        <v>75.349585714285723</v>
      </c>
      <c r="J20" s="132">
        <f t="shared" si="4"/>
        <v>142.1690296495957</v>
      </c>
      <c r="K20">
        <f>DMMB!U83</f>
        <v>263.1219999999999</v>
      </c>
      <c r="L20">
        <f t="shared" si="5"/>
        <v>3492.0165453559212</v>
      </c>
      <c r="M20">
        <f t="shared" si="6"/>
        <v>496.45660377358467</v>
      </c>
      <c r="N20" s="79">
        <f>OHP!BC57</f>
        <v>112.3506903362143</v>
      </c>
      <c r="O20">
        <f t="shared" si="7"/>
        <v>1491.0591647077026</v>
      </c>
      <c r="P20" s="132">
        <f t="shared" si="8"/>
        <v>211.98243459663075</v>
      </c>
      <c r="Q20">
        <f>Rx!G21</f>
        <v>4.2600193202560234E-3</v>
      </c>
      <c r="R20">
        <f>Q20/I20</f>
        <v>5.6536731819725921E-5</v>
      </c>
      <c r="S20" s="132">
        <f>Q20/F20</f>
        <v>8.0377723023698552E-3</v>
      </c>
      <c r="T20">
        <f>Rx!K21</f>
        <v>1.9000048934664331</v>
      </c>
      <c r="U20">
        <f>T20/I20</f>
        <v>2.5215863835946827E-2</v>
      </c>
      <c r="V20" s="132">
        <f>T20/F20</f>
        <v>3.5849148933328925</v>
      </c>
      <c r="W20" s="271"/>
      <c r="X20" s="271"/>
      <c r="Y20" s="384"/>
      <c r="Z20">
        <f t="shared" si="3"/>
        <v>3.7924528301886786</v>
      </c>
    </row>
    <row r="21" spans="2:28" x14ac:dyDescent="0.25">
      <c r="B21" s="628"/>
      <c r="C21" s="657"/>
      <c r="D21" s="197" t="s">
        <v>121</v>
      </c>
      <c r="E21" s="199">
        <f>Weights!I62</f>
        <v>2.2533333333333334</v>
      </c>
      <c r="F21" s="124">
        <f>Weights!M62</f>
        <v>0.55999999999999994</v>
      </c>
      <c r="G21" s="204">
        <f t="shared" si="0"/>
        <v>75.147928994082847</v>
      </c>
      <c r="H21" s="273"/>
      <c r="I21">
        <f>Picogreen!U76</f>
        <v>99.046485714285723</v>
      </c>
      <c r="J21" s="132">
        <f t="shared" si="4"/>
        <v>176.86872448979594</v>
      </c>
      <c r="K21">
        <f>DMMB!U84</f>
        <v>271.40600000000006</v>
      </c>
      <c r="L21">
        <f t="shared" si="5"/>
        <v>2740.1880848444325</v>
      </c>
      <c r="M21">
        <f t="shared" si="6"/>
        <v>484.65357142857158</v>
      </c>
      <c r="N21" s="79">
        <f>OHP!BC58</f>
        <v>119.1152899112143</v>
      </c>
      <c r="O21">
        <f t="shared" si="7"/>
        <v>1202.6200531215213</v>
      </c>
      <c r="P21" s="132">
        <f t="shared" si="8"/>
        <v>212.70587484145415</v>
      </c>
      <c r="Q21">
        <f>Rx!G22</f>
        <v>5.9303146652484933E-3</v>
      </c>
      <c r="R21">
        <f>Q21/I21</f>
        <v>5.9874054313803377E-5</v>
      </c>
      <c r="S21" s="132">
        <f>Q21/F21</f>
        <v>1.0589847616515168E-2</v>
      </c>
      <c r="T21">
        <f>Rx!K22</f>
        <v>1.7242818975389018</v>
      </c>
      <c r="U21">
        <f>T21/I21</f>
        <v>1.7408814508703001E-2</v>
      </c>
      <c r="V21" s="132">
        <f>T21/F21</f>
        <v>3.0790748170337534</v>
      </c>
      <c r="W21" s="271"/>
      <c r="X21" s="271"/>
      <c r="Y21" s="384"/>
      <c r="Z21">
        <f t="shared" si="3"/>
        <v>4.0238095238095246</v>
      </c>
    </row>
    <row r="22" spans="2:28" x14ac:dyDescent="0.25">
      <c r="B22" s="628"/>
      <c r="C22" s="657"/>
      <c r="D22" s="197" t="s">
        <v>122</v>
      </c>
      <c r="E22" s="199">
        <f>Weights!I63</f>
        <v>2.4299999999999997</v>
      </c>
      <c r="F22" s="124">
        <f>Weights!M63</f>
        <v>0.59333333333333327</v>
      </c>
      <c r="G22" s="204">
        <f t="shared" si="0"/>
        <v>75.582990397805219</v>
      </c>
      <c r="H22" s="273"/>
      <c r="I22">
        <f>Picogreen!U77</f>
        <v>84.107135714285704</v>
      </c>
      <c r="J22" s="132">
        <f t="shared" si="4"/>
        <v>141.75359951845905</v>
      </c>
      <c r="K22">
        <f>DMMB!U85</f>
        <v>279.68999999999994</v>
      </c>
      <c r="L22">
        <f t="shared" si="5"/>
        <v>3325.4015562973718</v>
      </c>
      <c r="M22">
        <f t="shared" si="6"/>
        <v>471.38764044943815</v>
      </c>
      <c r="N22" s="79">
        <f>OHP!BC59</f>
        <v>116.6123880684643</v>
      </c>
      <c r="O22">
        <f t="shared" si="7"/>
        <v>1386.474370790605</v>
      </c>
      <c r="P22" s="132">
        <f t="shared" si="8"/>
        <v>196.53773269965896</v>
      </c>
      <c r="Q22" s="271"/>
      <c r="R22" s="271"/>
      <c r="S22" s="272"/>
      <c r="T22" s="271"/>
      <c r="U22" s="271"/>
      <c r="V22" s="272"/>
      <c r="W22">
        <f>Rx!T29</f>
        <v>2.9658832274422312E-3</v>
      </c>
      <c r="X22">
        <f>W22/I22</f>
        <v>3.5263158140558006E-5</v>
      </c>
      <c r="Y22" s="4">
        <f>W22/F22</f>
        <v>4.9986795968127501E-3</v>
      </c>
      <c r="Z22">
        <f t="shared" si="3"/>
        <v>4.095505617977528</v>
      </c>
    </row>
    <row r="23" spans="2:28" x14ac:dyDescent="0.25">
      <c r="B23" s="628"/>
      <c r="C23" s="657"/>
      <c r="D23" s="197" t="s">
        <v>123</v>
      </c>
      <c r="E23" s="199">
        <f>Weights!I64</f>
        <v>2.375</v>
      </c>
      <c r="F23" s="124">
        <f>Weights!M64</f>
        <v>0.55333333333333334</v>
      </c>
      <c r="G23" s="204">
        <f t="shared" si="0"/>
        <v>76.701754385964904</v>
      </c>
      <c r="H23" s="273"/>
      <c r="I23">
        <f>Picogreen!U78</f>
        <v>105.74343571428571</v>
      </c>
      <c r="J23" s="132">
        <f t="shared" si="4"/>
        <v>191.10259466437176</v>
      </c>
      <c r="K23">
        <f>DMMB!U86</f>
        <v>316.96800000000007</v>
      </c>
      <c r="L23">
        <f t="shared" si="5"/>
        <v>2997.519400224844</v>
      </c>
      <c r="M23">
        <f t="shared" si="6"/>
        <v>572.83373493975921</v>
      </c>
      <c r="N23" s="79">
        <f>OHP!BC60</f>
        <v>130.54746319296427</v>
      </c>
      <c r="O23">
        <f t="shared" si="7"/>
        <v>1234.5680118215375</v>
      </c>
      <c r="P23" s="132">
        <f t="shared" si="8"/>
        <v>235.92915034873062</v>
      </c>
      <c r="Q23" s="271"/>
      <c r="R23" s="271"/>
      <c r="S23" s="272"/>
      <c r="T23" s="271"/>
      <c r="U23" s="271"/>
      <c r="V23" s="272"/>
      <c r="W23">
        <f>Rx!T30</f>
        <v>4.0718057868274699E-3</v>
      </c>
      <c r="X23">
        <f>W23/I23</f>
        <v>3.8506463870053521E-5</v>
      </c>
      <c r="Y23" s="4">
        <f>W23/F23</f>
        <v>7.3586851569171141E-3</v>
      </c>
      <c r="Z23">
        <f t="shared" si="3"/>
        <v>4.2921686746987948</v>
      </c>
      <c r="AA23" s="124"/>
      <c r="AB23" s="124"/>
    </row>
    <row r="24" spans="2:28" x14ac:dyDescent="0.25">
      <c r="B24" s="628"/>
      <c r="C24" s="657"/>
      <c r="D24" s="197" t="s">
        <v>124</v>
      </c>
      <c r="E24" s="199">
        <f>Weights!I65</f>
        <v>2.1550000000000002</v>
      </c>
      <c r="F24" s="124">
        <f>Weights!M65</f>
        <v>0.56333333333333335</v>
      </c>
      <c r="G24" s="204">
        <f t="shared" si="0"/>
        <v>73.859242072699146</v>
      </c>
      <c r="H24" s="273"/>
      <c r="I24">
        <f>Picogreen!U79</f>
        <v>85.137435714285715</v>
      </c>
      <c r="J24" s="132">
        <f t="shared" si="4"/>
        <v>151.13154268808114</v>
      </c>
      <c r="K24">
        <f>DMMB!U87</f>
        <v>277.61900000000014</v>
      </c>
      <c r="L24">
        <f t="shared" si="5"/>
        <v>3260.8334708560733</v>
      </c>
      <c r="M24">
        <f t="shared" si="6"/>
        <v>492.81479289940853</v>
      </c>
      <c r="N24" s="79">
        <f>OHP!BC61</f>
        <v>123.10640366046427</v>
      </c>
      <c r="O24">
        <f t="shared" si="7"/>
        <v>1445.9726514855263</v>
      </c>
      <c r="P24" s="132">
        <f t="shared" si="8"/>
        <v>218.53207750378272</v>
      </c>
      <c r="Q24" s="271"/>
      <c r="R24" s="271"/>
      <c r="S24" s="272"/>
      <c r="T24" s="271"/>
      <c r="U24" s="271"/>
      <c r="V24" s="272"/>
      <c r="W24">
        <f>Rx!T31</f>
        <v>4.1220749940722532E-3</v>
      </c>
      <c r="X24">
        <f>W24/I24</f>
        <v>4.8416715390696056E-5</v>
      </c>
      <c r="Y24" s="4">
        <f>W24/F24</f>
        <v>7.3172928888856565E-3</v>
      </c>
      <c r="Z24">
        <f t="shared" si="3"/>
        <v>3.8254437869822486</v>
      </c>
    </row>
    <row r="25" spans="2:28" ht="15.75" thickBot="1" x14ac:dyDescent="0.3">
      <c r="B25" s="629"/>
      <c r="C25" s="636"/>
      <c r="D25" s="78" t="s">
        <v>125</v>
      </c>
      <c r="E25" s="200">
        <f>Weights!I66</f>
        <v>1.97</v>
      </c>
      <c r="F25" s="209">
        <f>Weights!M66</f>
        <v>0.54</v>
      </c>
      <c r="G25" s="206">
        <f t="shared" si="0"/>
        <v>72.588832487309645</v>
      </c>
      <c r="H25" s="275"/>
      <c r="I25" s="6">
        <f>Picogreen!U80</f>
        <v>84.107135714285704</v>
      </c>
      <c r="J25" s="203">
        <f t="shared" si="4"/>
        <v>155.753955026455</v>
      </c>
      <c r="K25" s="6">
        <f>DMMB!U88</f>
        <v>269.33500000000026</v>
      </c>
      <c r="L25" s="6">
        <f t="shared" si="5"/>
        <v>3202.2847730178191</v>
      </c>
      <c r="M25" s="6">
        <f t="shared" si="6"/>
        <v>498.76851851851899</v>
      </c>
      <c r="N25" s="82">
        <f>OHP!BC62</f>
        <v>116.0035741067143</v>
      </c>
      <c r="O25" s="6">
        <f t="shared" si="7"/>
        <v>1379.235817764401</v>
      </c>
      <c r="P25" s="203">
        <f t="shared" si="8"/>
        <v>214.82143353095239</v>
      </c>
      <c r="Q25" s="276"/>
      <c r="R25" s="277"/>
      <c r="S25" s="275"/>
      <c r="T25" s="277"/>
      <c r="U25" s="277"/>
      <c r="V25" s="275"/>
      <c r="W25" s="6">
        <f>Rx!T32</f>
        <v>6.8868813925353507E-3</v>
      </c>
      <c r="X25" s="256">
        <f>W25/I25</f>
        <v>8.1882248563668603E-5</v>
      </c>
      <c r="Y25" s="4">
        <f>W25/F25</f>
        <v>1.2753484060250649E-2</v>
      </c>
      <c r="Z25">
        <f t="shared" si="3"/>
        <v>3.6481481481481479</v>
      </c>
    </row>
    <row r="26" spans="2:28" x14ac:dyDescent="0.25">
      <c r="B26" s="627" t="s">
        <v>143</v>
      </c>
      <c r="C26" s="635" t="s">
        <v>51</v>
      </c>
      <c r="D26" s="196" t="s">
        <v>46</v>
      </c>
      <c r="E26" s="201">
        <f>Weights!I38</f>
        <v>1.9849999999999999</v>
      </c>
      <c r="F26" s="212">
        <f>Weights!M38</f>
        <v>0.56999999999999995</v>
      </c>
      <c r="G26" s="205">
        <f t="shared" si="0"/>
        <v>71.284634760705288</v>
      </c>
      <c r="H26" s="205">
        <f>'Alamar Blue - Analysis'!F23</f>
        <v>1.9407407407407407</v>
      </c>
      <c r="I26" s="8">
        <f>Picogreen!U52</f>
        <v>61.440535714285716</v>
      </c>
      <c r="J26" s="202">
        <f t="shared" si="4"/>
        <v>107.7904135338346</v>
      </c>
      <c r="K26" s="8">
        <f>DMMB!U60</f>
        <v>271.40600000000035</v>
      </c>
      <c r="L26" s="8">
        <f t="shared" si="5"/>
        <v>4417.3768481138904</v>
      </c>
      <c r="M26" s="8">
        <f t="shared" si="6"/>
        <v>476.1508771929831</v>
      </c>
      <c r="N26" s="251">
        <f>OHP!AM52</f>
        <v>105.57052857613634</v>
      </c>
      <c r="O26" s="8">
        <f t="shared" si="7"/>
        <v>1718.2553398796265</v>
      </c>
      <c r="P26" s="202">
        <f t="shared" si="8"/>
        <v>185.21145364234448</v>
      </c>
      <c r="Q26" s="8">
        <f>Rx!G3</f>
        <v>8.0662138944976322E-4</v>
      </c>
      <c r="R26" s="8">
        <f t="shared" ref="R26:R31" si="9">Q26/I26</f>
        <v>1.3128488872570383E-5</v>
      </c>
      <c r="S26" s="202">
        <f t="shared" ref="S26:S31" si="10">Q26/F26</f>
        <v>1.4151252446487075E-3</v>
      </c>
      <c r="T26" s="8">
        <f>Rx!K3</f>
        <v>4.3258401468168293</v>
      </c>
      <c r="U26" s="8">
        <f t="shared" ref="U26:U31" si="11">T26/I26</f>
        <v>7.0406940573127449E-2</v>
      </c>
      <c r="V26" s="202">
        <f t="shared" ref="V26:V31" si="12">T26/F26</f>
        <v>7.5891932400295259</v>
      </c>
      <c r="W26" s="279"/>
      <c r="X26" s="279"/>
      <c r="Y26" s="400"/>
      <c r="Z26">
        <f t="shared" si="3"/>
        <v>3.4824561403508771</v>
      </c>
    </row>
    <row r="27" spans="2:28" x14ac:dyDescent="0.25">
      <c r="B27" s="628"/>
      <c r="C27" s="657"/>
      <c r="D27" s="197" t="s">
        <v>44</v>
      </c>
      <c r="E27" s="199">
        <f>Weights!I39</f>
        <v>1.72</v>
      </c>
      <c r="F27" s="124">
        <f>Weights!M39</f>
        <v>0.53</v>
      </c>
      <c r="G27" s="204">
        <f t="shared" si="0"/>
        <v>69.186046511627907</v>
      </c>
      <c r="H27" s="204">
        <f>'Alamar Blue - Analysis'!F24</f>
        <v>1.6592592592592594</v>
      </c>
      <c r="I27">
        <f>Picogreen!U53</f>
        <v>42.379985714285723</v>
      </c>
      <c r="J27" s="132">
        <f t="shared" si="4"/>
        <v>79.962237196765514</v>
      </c>
      <c r="K27">
        <f>DMMB!U61</f>
        <v>265.19300000000015</v>
      </c>
      <c r="L27">
        <f t="shared" si="5"/>
        <v>6257.5056487243501</v>
      </c>
      <c r="M27">
        <f t="shared" si="6"/>
        <v>500.36415094339651</v>
      </c>
      <c r="N27" s="79">
        <f>OHP!AM53</f>
        <v>104.09842056313633</v>
      </c>
      <c r="O27">
        <f t="shared" si="7"/>
        <v>2456.3108931876341</v>
      </c>
      <c r="P27" s="132">
        <f t="shared" si="8"/>
        <v>196.41211427006854</v>
      </c>
      <c r="Q27">
        <f>Rx!G4</f>
        <v>5.5581013207766793E-4</v>
      </c>
      <c r="R27">
        <f t="shared" si="9"/>
        <v>1.3114920232035657E-5</v>
      </c>
      <c r="S27" s="132">
        <f t="shared" si="10"/>
        <v>1.0486983624106942E-3</v>
      </c>
      <c r="T27">
        <f>Rx!K4</f>
        <v>2.340208604015662</v>
      </c>
      <c r="U27">
        <f t="shared" si="11"/>
        <v>5.5219664768004134E-2</v>
      </c>
      <c r="V27" s="132">
        <f t="shared" si="12"/>
        <v>4.4154879321050222</v>
      </c>
      <c r="W27" s="271"/>
      <c r="X27" s="271"/>
      <c r="Y27" s="384"/>
      <c r="Z27">
        <f t="shared" si="3"/>
        <v>3.2452830188679243</v>
      </c>
    </row>
    <row r="28" spans="2:28" x14ac:dyDescent="0.25">
      <c r="B28" s="628"/>
      <c r="C28" s="657"/>
      <c r="D28" s="197" t="s">
        <v>45</v>
      </c>
      <c r="E28" s="199">
        <f>Weights!I40</f>
        <v>1.9566666666666668</v>
      </c>
      <c r="F28" s="124">
        <f>Weights!M40</f>
        <v>0.54500000000000004</v>
      </c>
      <c r="G28" s="204">
        <f t="shared" si="0"/>
        <v>72.146507666098813</v>
      </c>
      <c r="H28" s="204">
        <f>'Alamar Blue - Analysis'!F25</f>
        <v>1.7555555555555555</v>
      </c>
      <c r="I28">
        <f>Picogreen!U54</f>
        <v>43.41028571428572</v>
      </c>
      <c r="J28" s="132">
        <f t="shared" si="4"/>
        <v>79.651900393184803</v>
      </c>
      <c r="K28">
        <f>DMMB!U62</f>
        <v>269.33500000000009</v>
      </c>
      <c r="L28">
        <f t="shared" si="5"/>
        <v>6204.4051442712744</v>
      </c>
      <c r="M28">
        <f t="shared" si="6"/>
        <v>494.19266055045887</v>
      </c>
      <c r="N28" s="79">
        <f>OHP!AM54</f>
        <v>109.29409590313637</v>
      </c>
      <c r="O28">
        <f t="shared" si="7"/>
        <v>2517.7004505908885</v>
      </c>
      <c r="P28" s="132">
        <f t="shared" si="8"/>
        <v>200.53962551034195</v>
      </c>
      <c r="Q28">
        <f>Rx!G5</f>
        <v>5.171046911251841E-4</v>
      </c>
      <c r="R28">
        <f t="shared" si="9"/>
        <v>1.1912031506279907E-5</v>
      </c>
      <c r="S28" s="132">
        <f t="shared" si="10"/>
        <v>9.4881594701868633E-4</v>
      </c>
      <c r="T28">
        <f>Rx!K5</f>
        <v>2.5787422633781403</v>
      </c>
      <c r="U28">
        <f t="shared" si="11"/>
        <v>5.9403945883947776E-2</v>
      </c>
      <c r="V28" s="132">
        <f t="shared" si="12"/>
        <v>4.731637180510349</v>
      </c>
      <c r="W28" s="271"/>
      <c r="X28" s="271"/>
      <c r="Y28" s="384"/>
      <c r="Z28">
        <f t="shared" si="3"/>
        <v>3.5902140672782874</v>
      </c>
    </row>
    <row r="29" spans="2:28" x14ac:dyDescent="0.25">
      <c r="B29" s="628"/>
      <c r="C29" s="657"/>
      <c r="D29" s="197" t="s">
        <v>47</v>
      </c>
      <c r="E29" s="199">
        <f>Weights!I41</f>
        <v>1.9449999999999998</v>
      </c>
      <c r="F29" s="124">
        <f>Weights!M41</f>
        <v>0.56000000000000005</v>
      </c>
      <c r="G29" s="204">
        <f t="shared" si="0"/>
        <v>71.208226221079684</v>
      </c>
      <c r="H29" s="204">
        <f>'Alamar Blue - Analysis'!F26</f>
        <v>1.8888888888888888</v>
      </c>
      <c r="I29">
        <f>Picogreen!U55</f>
        <v>43.925435714285719</v>
      </c>
      <c r="J29" s="132">
        <f t="shared" si="4"/>
        <v>78.438278061224494</v>
      </c>
      <c r="K29">
        <f>DMMB!U63</f>
        <v>234.12800000000033</v>
      </c>
      <c r="L29">
        <f t="shared" si="5"/>
        <v>5330.1235649178925</v>
      </c>
      <c r="M29">
        <f t="shared" si="6"/>
        <v>418.08571428571486</v>
      </c>
      <c r="N29" s="79">
        <f>OHP!AM55</f>
        <v>111.60328494313633</v>
      </c>
      <c r="O29">
        <f t="shared" si="7"/>
        <v>2540.7439477450644</v>
      </c>
      <c r="P29" s="132">
        <f t="shared" si="8"/>
        <v>199.29158025560056</v>
      </c>
      <c r="Q29">
        <f>Rx!G6</f>
        <v>4.4124202685831576E-4</v>
      </c>
      <c r="R29">
        <f t="shared" si="9"/>
        <v>1.0045250995992104E-5</v>
      </c>
      <c r="S29" s="132">
        <f t="shared" si="10"/>
        <v>7.8793219081842094E-4</v>
      </c>
      <c r="T29">
        <f>Rx!K6</f>
        <v>3.1009375717122132</v>
      </c>
      <c r="U29">
        <f t="shared" si="11"/>
        <v>7.0595488042107357E-2</v>
      </c>
      <c r="V29" s="132">
        <f t="shared" si="12"/>
        <v>5.537388520914666</v>
      </c>
      <c r="W29" s="271"/>
      <c r="X29" s="271"/>
      <c r="Y29" s="384"/>
      <c r="Z29">
        <f t="shared" si="3"/>
        <v>3.4732142857142851</v>
      </c>
      <c r="AB29" s="124"/>
    </row>
    <row r="30" spans="2:28" x14ac:dyDescent="0.25">
      <c r="B30" s="628"/>
      <c r="C30" s="657"/>
      <c r="D30" s="197" t="s">
        <v>48</v>
      </c>
      <c r="E30" s="199">
        <f>Weights!I42</f>
        <v>2.125</v>
      </c>
      <c r="F30" s="124">
        <f>Weights!M42</f>
        <v>0.53500000000000003</v>
      </c>
      <c r="G30" s="204">
        <f t="shared" si="0"/>
        <v>74.82352941176471</v>
      </c>
      <c r="H30" s="204">
        <f>'Alamar Blue - Analysis'!F27</f>
        <v>2.3851851851851853</v>
      </c>
      <c r="I30">
        <f>Picogreen!U56</f>
        <v>78.955635714285705</v>
      </c>
      <c r="J30" s="132">
        <f t="shared" si="4"/>
        <v>147.58062750333775</v>
      </c>
      <c r="K30">
        <f>DMMB!U64</f>
        <v>308.6840000000002</v>
      </c>
      <c r="L30">
        <f t="shared" si="5"/>
        <v>3909.5879250092462</v>
      </c>
      <c r="M30">
        <f t="shared" si="6"/>
        <v>576.97943925233676</v>
      </c>
      <c r="N30" s="79">
        <f>OHP!AM56</f>
        <v>102.53971796113636</v>
      </c>
      <c r="O30">
        <f t="shared" si="7"/>
        <v>1298.7004288356773</v>
      </c>
      <c r="P30" s="132">
        <f t="shared" si="8"/>
        <v>191.66302422642309</v>
      </c>
      <c r="Q30">
        <f>Rx!G7</f>
        <v>1.1487774874697203E-3</v>
      </c>
      <c r="R30">
        <f t="shared" si="9"/>
        <v>1.4549657881633245E-5</v>
      </c>
      <c r="S30" s="132">
        <f t="shared" si="10"/>
        <v>2.1472476401303182E-3</v>
      </c>
      <c r="T30">
        <f>Rx!K7</f>
        <v>5.2026125163653978</v>
      </c>
      <c r="U30">
        <f t="shared" si="11"/>
        <v>6.589285830326197E-2</v>
      </c>
      <c r="V30" s="132">
        <f t="shared" si="12"/>
        <v>9.7245093763839208</v>
      </c>
      <c r="W30" s="271"/>
      <c r="X30" s="271"/>
      <c r="Y30" s="384"/>
      <c r="Z30">
        <f t="shared" si="3"/>
        <v>3.9719626168224296</v>
      </c>
    </row>
    <row r="31" spans="2:28" x14ac:dyDescent="0.25">
      <c r="B31" s="628"/>
      <c r="C31" s="658"/>
      <c r="D31" s="249" t="s">
        <v>49</v>
      </c>
      <c r="E31" s="250">
        <f>Weights!I43</f>
        <v>2.3149999999999999</v>
      </c>
      <c r="F31" s="77">
        <f>Weights!M43</f>
        <v>0.57499999999999996</v>
      </c>
      <c r="G31" s="247">
        <f t="shared" si="0"/>
        <v>75.161987041036724</v>
      </c>
      <c r="H31" s="247">
        <f>'Alamar Blue - Analysis'!F28</f>
        <v>1.925925925925926</v>
      </c>
      <c r="I31" s="162">
        <f>Picogreen!U57</f>
        <v>44.440585714285717</v>
      </c>
      <c r="J31" s="134">
        <f t="shared" si="4"/>
        <v>77.287975155279511</v>
      </c>
      <c r="K31" s="162">
        <f>DMMB!U65</f>
        <v>271.40600000000035</v>
      </c>
      <c r="L31" s="162">
        <f t="shared" si="5"/>
        <v>6107.1652328100417</v>
      </c>
      <c r="M31" s="162">
        <f t="shared" si="6"/>
        <v>472.01043478260931</v>
      </c>
      <c r="N31" s="138">
        <f>OHP!AM57</f>
        <v>105.77258261713634</v>
      </c>
      <c r="O31" s="162">
        <f t="shared" si="7"/>
        <v>2380.089751677936</v>
      </c>
      <c r="P31" s="134">
        <f t="shared" si="8"/>
        <v>183.95231759501974</v>
      </c>
      <c r="Q31" s="162">
        <f>Rx!G8</f>
        <v>5.2174934403948219E-4</v>
      </c>
      <c r="R31" s="77">
        <f t="shared" si="9"/>
        <v>1.1740379557413493E-5</v>
      </c>
      <c r="S31" s="247">
        <f t="shared" si="10"/>
        <v>9.0739016354692557E-4</v>
      </c>
      <c r="T31" s="162">
        <f>Rx!K8</f>
        <v>3.3201306640993549</v>
      </c>
      <c r="U31" s="77">
        <f t="shared" si="11"/>
        <v>7.4709426321356451E-2</v>
      </c>
      <c r="V31" s="247">
        <f t="shared" si="12"/>
        <v>5.7741402853901826</v>
      </c>
      <c r="W31" s="285"/>
      <c r="X31" s="285"/>
      <c r="Y31" s="438"/>
      <c r="Z31">
        <f t="shared" si="3"/>
        <v>4.0260869565217394</v>
      </c>
    </row>
    <row r="32" spans="2:28" x14ac:dyDescent="0.25">
      <c r="B32" s="628"/>
      <c r="C32" s="680" t="s">
        <v>150</v>
      </c>
      <c r="D32" s="387" t="s">
        <v>122</v>
      </c>
      <c r="E32" s="388">
        <f>Weights!I77</f>
        <v>1.8499999999999999</v>
      </c>
      <c r="F32" s="391">
        <f>Weights!M77</f>
        <v>0.53</v>
      </c>
      <c r="G32" s="389">
        <f t="shared" si="0"/>
        <v>71.351351351351354</v>
      </c>
      <c r="H32" s="390"/>
      <c r="I32" s="268">
        <f>Picogreen!AJ56</f>
        <v>42.371789999999997</v>
      </c>
      <c r="J32" s="133">
        <f t="shared" si="4"/>
        <v>79.946773584905657</v>
      </c>
      <c r="K32" s="268">
        <f>DMMB!AJ64</f>
        <v>297.40779999999984</v>
      </c>
      <c r="L32" s="268">
        <f t="shared" ref="L32:L41" si="13">K32*1000/I32</f>
        <v>7019.0048614892085</v>
      </c>
      <c r="M32" s="268">
        <f t="shared" ref="M32:M41" si="14">K32/F32</f>
        <v>561.1467924528298</v>
      </c>
      <c r="N32" s="163">
        <f>OHP!BS56</f>
        <v>117.21831788313585</v>
      </c>
      <c r="O32" s="268">
        <f t="shared" si="7"/>
        <v>2766.4235540470645</v>
      </c>
      <c r="P32" s="133">
        <f t="shared" si="8"/>
        <v>221.16663751535066</v>
      </c>
      <c r="Q32" s="392"/>
      <c r="R32" s="392"/>
      <c r="S32" s="396"/>
      <c r="T32" s="392"/>
      <c r="U32" s="392"/>
      <c r="V32" s="396"/>
      <c r="W32" s="268">
        <f>Rx!BM29</f>
        <v>5.9417760195068545E-2</v>
      </c>
      <c r="X32" s="268">
        <f>W32/I32</f>
        <v>1.4022952581202858E-3</v>
      </c>
      <c r="Y32" s="164">
        <f>W32/F32</f>
        <v>0.11210898150012932</v>
      </c>
      <c r="Z32">
        <f t="shared" si="3"/>
        <v>3.4905660377358485</v>
      </c>
    </row>
    <row r="33" spans="2:28" x14ac:dyDescent="0.25">
      <c r="B33" s="628"/>
      <c r="C33" s="657"/>
      <c r="D33" s="197" t="s">
        <v>123</v>
      </c>
      <c r="E33" s="199">
        <f>Weights!I78</f>
        <v>1.8766666666666667</v>
      </c>
      <c r="F33" s="124">
        <f>Weights!M78</f>
        <v>0.55000000000000004</v>
      </c>
      <c r="G33" s="204">
        <f t="shared" si="0"/>
        <v>70.692717584369447</v>
      </c>
      <c r="H33" s="273"/>
      <c r="I33">
        <f>Picogreen!AJ57</f>
        <v>46.102670000000003</v>
      </c>
      <c r="J33" s="132">
        <f t="shared" si="4"/>
        <v>83.823036363636362</v>
      </c>
      <c r="K33">
        <f>DMMB!AJ65</f>
        <v>187.23320000000015</v>
      </c>
      <c r="L33">
        <f t="shared" si="13"/>
        <v>4061.2224845112037</v>
      </c>
      <c r="M33">
        <f t="shared" si="14"/>
        <v>340.42400000000026</v>
      </c>
      <c r="N33" s="79">
        <f>OHP!BS57</f>
        <v>90.420279254510874</v>
      </c>
      <c r="O33">
        <f t="shared" si="7"/>
        <v>1961.2807512994555</v>
      </c>
      <c r="P33" s="132">
        <f t="shared" si="8"/>
        <v>164.40050773547429</v>
      </c>
      <c r="Q33" s="271"/>
      <c r="R33" s="271"/>
      <c r="S33" s="272"/>
      <c r="T33" s="271"/>
      <c r="U33" s="271"/>
      <c r="V33" s="272"/>
      <c r="W33">
        <f>Rx!BM30</f>
        <v>3.9225005753775723E-2</v>
      </c>
      <c r="X33">
        <f>W33/I33</f>
        <v>8.508185264275522E-4</v>
      </c>
      <c r="Y33" s="4">
        <f>W33/F33</f>
        <v>7.1318192279592213E-2</v>
      </c>
      <c r="Z33">
        <f t="shared" si="3"/>
        <v>3.4121212121212121</v>
      </c>
    </row>
    <row r="34" spans="2:28" x14ac:dyDescent="0.25">
      <c r="B34" s="628"/>
      <c r="C34" s="657"/>
      <c r="D34" s="197" t="s">
        <v>124</v>
      </c>
      <c r="E34" s="199">
        <f>Weights!I79</f>
        <v>1.84</v>
      </c>
      <c r="F34" s="124">
        <f>Weights!M79</f>
        <v>0.495</v>
      </c>
      <c r="G34" s="204">
        <f t="shared" si="0"/>
        <v>73.09782608695653</v>
      </c>
      <c r="H34" s="273"/>
      <c r="I34">
        <f>Picogreen!AJ58</f>
        <v>49.367189999999994</v>
      </c>
      <c r="J34" s="132">
        <f t="shared" si="4"/>
        <v>99.731696969696955</v>
      </c>
      <c r="K34">
        <f>DMMB!AJ66</f>
        <v>208.78910000000005</v>
      </c>
      <c r="L34">
        <f t="shared" si="13"/>
        <v>4229.3089803166849</v>
      </c>
      <c r="M34">
        <f t="shared" si="14"/>
        <v>421.79616161616173</v>
      </c>
      <c r="N34" s="79">
        <f>OHP!BS58</f>
        <v>96.910654595135867</v>
      </c>
      <c r="O34">
        <f t="shared" si="7"/>
        <v>1963.0579458773304</v>
      </c>
      <c r="P34" s="132">
        <f t="shared" si="8"/>
        <v>195.77910019219368</v>
      </c>
      <c r="Q34" s="271"/>
      <c r="R34" s="271"/>
      <c r="S34" s="272"/>
      <c r="T34" s="271"/>
      <c r="U34" s="271"/>
      <c r="V34" s="272"/>
      <c r="W34">
        <f>Rx!BM31</f>
        <v>3.6265722775310386E-2</v>
      </c>
      <c r="X34">
        <f>W34/I34</f>
        <v>7.346118500022057E-4</v>
      </c>
      <c r="Y34" s="4">
        <f>W34/F34</f>
        <v>7.3264086414768462E-2</v>
      </c>
      <c r="Z34">
        <f t="shared" si="3"/>
        <v>3.7171717171717176</v>
      </c>
    </row>
    <row r="35" spans="2:28" x14ac:dyDescent="0.25">
      <c r="B35" s="628"/>
      <c r="C35" s="657"/>
      <c r="D35" s="197" t="s">
        <v>125</v>
      </c>
      <c r="E35" s="199">
        <f>Weights!I80</f>
        <v>2.09</v>
      </c>
      <c r="F35" s="124">
        <f>Weights!M80</f>
        <v>0.56499999999999995</v>
      </c>
      <c r="G35" s="204">
        <f t="shared" si="0"/>
        <v>72.966507177033492</v>
      </c>
      <c r="H35" s="273"/>
      <c r="I35">
        <f>Picogreen!AJ59</f>
        <v>40.972709999999992</v>
      </c>
      <c r="J35" s="132">
        <f t="shared" si="4"/>
        <v>72.518070796460165</v>
      </c>
      <c r="K35">
        <f>DMMB!AJ67</f>
        <v>239.92539999999977</v>
      </c>
      <c r="L35">
        <f t="shared" si="13"/>
        <v>5855.7366598401668</v>
      </c>
      <c r="M35">
        <f t="shared" si="14"/>
        <v>424.64672566371644</v>
      </c>
      <c r="N35" s="79">
        <f>OHP!BS59</f>
        <v>109.89140527638587</v>
      </c>
      <c r="O35">
        <f t="shared" si="7"/>
        <v>2682.0633850283734</v>
      </c>
      <c r="P35" s="132">
        <f t="shared" si="8"/>
        <v>194.4980624360812</v>
      </c>
      <c r="Q35" s="271"/>
      <c r="R35" s="271"/>
      <c r="S35" s="272"/>
      <c r="T35" s="271"/>
      <c r="U35" s="271"/>
      <c r="V35" s="272"/>
      <c r="W35">
        <f>Rx!BM32</f>
        <v>5.3905370333221368E-2</v>
      </c>
      <c r="X35">
        <f>W35/I35</f>
        <v>1.3156408334528368E-3</v>
      </c>
      <c r="Y35" s="4">
        <f>W35/F35</f>
        <v>9.5407735103046676E-2</v>
      </c>
      <c r="Z35">
        <f t="shared" si="3"/>
        <v>3.6991150442477876</v>
      </c>
      <c r="AA35" s="124"/>
      <c r="AB35" s="124"/>
    </row>
    <row r="36" spans="2:28" x14ac:dyDescent="0.25">
      <c r="B36" s="628"/>
      <c r="C36" s="658"/>
      <c r="D36" s="249" t="s">
        <v>126</v>
      </c>
      <c r="E36" s="250">
        <f>Weights!I81</f>
        <v>1.8433333333333335</v>
      </c>
      <c r="F36" s="77">
        <f>Weights!M81</f>
        <v>0.54</v>
      </c>
      <c r="G36" s="247">
        <f t="shared" si="0"/>
        <v>70.705244122965638</v>
      </c>
      <c r="H36" s="286"/>
      <c r="I36" s="162">
        <f>Picogreen!AJ60</f>
        <v>42.371789999999997</v>
      </c>
      <c r="J36" s="134">
        <f t="shared" si="4"/>
        <v>78.466277777777762</v>
      </c>
      <c r="K36" s="162">
        <f>DMMB!AJ68</f>
        <v>263.87639999999988</v>
      </c>
      <c r="L36" s="162">
        <f t="shared" si="13"/>
        <v>6227.6434391844168</v>
      </c>
      <c r="M36" s="162">
        <f t="shared" si="14"/>
        <v>488.65999999999974</v>
      </c>
      <c r="N36" s="138">
        <f>OHP!BS60</f>
        <v>96.795270144635879</v>
      </c>
      <c r="O36" s="162">
        <f t="shared" si="7"/>
        <v>2284.4272131207081</v>
      </c>
      <c r="P36" s="134">
        <f t="shared" si="8"/>
        <v>179.25050026784422</v>
      </c>
      <c r="Q36" s="281"/>
      <c r="R36" s="281"/>
      <c r="S36" s="282"/>
      <c r="T36" s="281"/>
      <c r="U36" s="281"/>
      <c r="V36" s="282"/>
      <c r="W36" s="162">
        <f>Rx!BM33</f>
        <v>7.1835143673334823E-2</v>
      </c>
      <c r="X36" s="162">
        <f>W36/I36</f>
        <v>1.6953530562040175E-3</v>
      </c>
      <c r="Y36" s="165">
        <f>W36/F36</f>
        <v>0.13302804383950892</v>
      </c>
      <c r="Z36">
        <f t="shared" si="3"/>
        <v>3.4135802469135803</v>
      </c>
    </row>
    <row r="37" spans="2:28" x14ac:dyDescent="0.25">
      <c r="B37" s="628"/>
      <c r="C37" s="657" t="s">
        <v>210</v>
      </c>
      <c r="D37" s="197" t="s">
        <v>117</v>
      </c>
      <c r="E37" s="199">
        <f>Weights!I100</f>
        <v>2.3666666666666667</v>
      </c>
      <c r="F37" s="124">
        <f>Weights!M100</f>
        <v>0.59</v>
      </c>
      <c r="G37" s="204">
        <f t="shared" si="0"/>
        <v>75.070422535211264</v>
      </c>
      <c r="H37" s="273"/>
      <c r="I37">
        <f>Picogreen!AY48</f>
        <v>19.058941153846153</v>
      </c>
      <c r="J37" s="132">
        <f t="shared" si="4"/>
        <v>32.303290091264664</v>
      </c>
      <c r="K37">
        <f>DMMB!AY56</f>
        <v>275.06100000000015</v>
      </c>
      <c r="L37">
        <f t="shared" si="13"/>
        <v>14432.1238929106</v>
      </c>
      <c r="M37">
        <f t="shared" si="14"/>
        <v>466.20508474576297</v>
      </c>
      <c r="N37" s="79">
        <f>OHP!CY48</f>
        <v>76.276007551329528</v>
      </c>
      <c r="O37">
        <f>(N37*1000)/I37</f>
        <v>4002.1114990397459</v>
      </c>
      <c r="P37" s="132">
        <f>N37/F37</f>
        <v>129.281368731067</v>
      </c>
      <c r="Q37">
        <f>Rx!CA3</f>
        <v>3.81349836960846E-3</v>
      </c>
      <c r="R37">
        <f t="shared" ref="R37:R42" si="15">Q37/I37</f>
        <v>2.000897289532207E-4</v>
      </c>
      <c r="S37" s="132">
        <f t="shared" ref="S37:S42" si="16">Q37/F37</f>
        <v>6.4635565586584074E-3</v>
      </c>
      <c r="T37">
        <f>Rx!CE3</f>
        <v>4.8196797273940097</v>
      </c>
      <c r="U37">
        <f>T37/I37</f>
        <v>0.25288286943587018</v>
      </c>
      <c r="V37" s="132">
        <f>T37/F37</f>
        <v>8.168948690498322</v>
      </c>
      <c r="W37" s="271"/>
      <c r="X37" s="271"/>
      <c r="Y37" s="384"/>
      <c r="Z37">
        <f t="shared" si="3"/>
        <v>4.0112994350282491</v>
      </c>
    </row>
    <row r="38" spans="2:28" x14ac:dyDescent="0.25">
      <c r="B38" s="628"/>
      <c r="C38" s="657"/>
      <c r="D38" s="197" t="s">
        <v>118</v>
      </c>
      <c r="E38" s="199">
        <f>Weights!I101</f>
        <v>1.9333333333333333</v>
      </c>
      <c r="F38" s="124">
        <f>Weights!M101</f>
        <v>0.48</v>
      </c>
      <c r="G38" s="204">
        <f t="shared" si="0"/>
        <v>75.172413793103445</v>
      </c>
      <c r="H38" s="273"/>
      <c r="I38">
        <f>Picogreen!AY49</f>
        <v>30.086821153846152</v>
      </c>
      <c r="J38" s="132">
        <f t="shared" si="4"/>
        <v>62.680877403846154</v>
      </c>
      <c r="K38">
        <f>DMMB!AY57</f>
        <v>318.71300000000031</v>
      </c>
      <c r="L38">
        <f t="shared" si="13"/>
        <v>10593.109799479682</v>
      </c>
      <c r="M38">
        <f t="shared" si="14"/>
        <v>663.98541666666733</v>
      </c>
      <c r="N38" s="79">
        <f>OHP!CY49</f>
        <v>67.879766415579525</v>
      </c>
      <c r="O38">
        <f>(N38*1000)/I38</f>
        <v>2256.1295548134735</v>
      </c>
      <c r="P38" s="132">
        <f>N38/F38</f>
        <v>141.41618003245736</v>
      </c>
      <c r="Q38">
        <f>Rx!CA4</f>
        <v>1.16109307901487E-2</v>
      </c>
      <c r="R38">
        <f t="shared" si="15"/>
        <v>3.8591417587046799E-4</v>
      </c>
      <c r="S38" s="132">
        <f t="shared" si="16"/>
        <v>2.4189439146143125E-2</v>
      </c>
      <c r="T38" s="111"/>
      <c r="U38" s="111"/>
      <c r="V38" s="421"/>
      <c r="W38" s="271"/>
      <c r="X38" s="271"/>
      <c r="Y38" s="384"/>
      <c r="Z38">
        <f t="shared" si="3"/>
        <v>4.0277777777777777</v>
      </c>
    </row>
    <row r="39" spans="2:28" x14ac:dyDescent="0.25">
      <c r="B39" s="628"/>
      <c r="C39" s="657"/>
      <c r="D39" s="197" t="s">
        <v>119</v>
      </c>
      <c r="E39" s="199">
        <f>Weights!I102</f>
        <v>2.0099999999999998</v>
      </c>
      <c r="F39" s="124">
        <f>Weights!M102</f>
        <v>0.52</v>
      </c>
      <c r="G39" s="204">
        <f t="shared" si="0"/>
        <v>74.129353233830841</v>
      </c>
      <c r="H39" s="273"/>
      <c r="I39">
        <f>Picogreen!AY50</f>
        <v>15.382981153846151</v>
      </c>
      <c r="J39" s="132">
        <f t="shared" si="4"/>
        <v>29.582656065088752</v>
      </c>
      <c r="K39">
        <f>DMMB!AY58</f>
        <v>251.05240000000009</v>
      </c>
      <c r="L39">
        <f t="shared" si="13"/>
        <v>16320.139606829744</v>
      </c>
      <c r="M39">
        <f t="shared" si="14"/>
        <v>482.79307692307708</v>
      </c>
      <c r="N39" s="79">
        <f>OHP!CY50</f>
        <v>80.651220053829533</v>
      </c>
      <c r="O39">
        <f>(N39*1000)/I39</f>
        <v>5242.8862290886054</v>
      </c>
      <c r="P39" s="132">
        <f>N39/F39</f>
        <v>155.09850010351832</v>
      </c>
      <c r="Q39">
        <f>Rx!CA5</f>
        <v>2.8974065824958098E-3</v>
      </c>
      <c r="R39">
        <f t="shared" si="15"/>
        <v>1.8835143549346297E-4</v>
      </c>
      <c r="S39" s="132">
        <f t="shared" si="16"/>
        <v>5.5719357355688646E-3</v>
      </c>
      <c r="T39">
        <f>Rx!CE5</f>
        <v>3.6284662270350001</v>
      </c>
      <c r="U39">
        <f>T39/I39</f>
        <v>0.23587536061745665</v>
      </c>
      <c r="V39" s="132">
        <f>T39/F39</f>
        <v>6.9778196673749999</v>
      </c>
      <c r="W39" s="271"/>
      <c r="X39" s="271"/>
      <c r="Y39" s="384"/>
      <c r="Z39">
        <f t="shared" si="3"/>
        <v>3.865384615384615</v>
      </c>
    </row>
    <row r="40" spans="2:28" x14ac:dyDescent="0.25">
      <c r="B40" s="628"/>
      <c r="C40" s="657"/>
      <c r="D40" s="197" t="s">
        <v>120</v>
      </c>
      <c r="E40" s="199">
        <f>Weights!I103</f>
        <v>2.3533333333333335</v>
      </c>
      <c r="F40" s="124">
        <f>Weights!M103</f>
        <v>0.59499999999999997</v>
      </c>
      <c r="G40" s="204">
        <f t="shared" si="0"/>
        <v>74.716713881019828</v>
      </c>
      <c r="H40" s="273"/>
      <c r="I40">
        <f>Picogreen!AY51</f>
        <v>27.023521153846151</v>
      </c>
      <c r="J40" s="132">
        <f t="shared" si="4"/>
        <v>45.417682611506137</v>
      </c>
      <c r="K40">
        <f>DMMB!AY59</f>
        <v>279.42620000000034</v>
      </c>
      <c r="L40">
        <f t="shared" si="13"/>
        <v>10340.110691320133</v>
      </c>
      <c r="M40">
        <f t="shared" si="14"/>
        <v>469.62386554621906</v>
      </c>
      <c r="N40" s="79">
        <f>OHP!CY51</f>
        <v>77.151050051829529</v>
      </c>
      <c r="O40">
        <f>(N40*1000)/I40</f>
        <v>2854.959189537331</v>
      </c>
      <c r="P40" s="132">
        <f>N40/F40</f>
        <v>129.66563033920929</v>
      </c>
      <c r="Q40">
        <f>Rx!CA6</f>
        <v>6.1995979081344204E-3</v>
      </c>
      <c r="R40">
        <f t="shared" si="15"/>
        <v>2.2941488168176988E-4</v>
      </c>
      <c r="S40" s="132">
        <f t="shared" si="16"/>
        <v>1.0419492282578859E-2</v>
      </c>
      <c r="T40">
        <f>Rx!CE6</f>
        <v>4.3212640368672295</v>
      </c>
      <c r="U40">
        <f>T40/I40</f>
        <v>0.15990751213604157</v>
      </c>
      <c r="V40" s="132">
        <f>T40/F40</f>
        <v>7.2626286333903023</v>
      </c>
      <c r="W40" s="271"/>
      <c r="X40" s="271"/>
      <c r="Y40" s="384"/>
      <c r="Z40">
        <f t="shared" si="3"/>
        <v>3.9551820728291323</v>
      </c>
    </row>
    <row r="41" spans="2:28" x14ac:dyDescent="0.25">
      <c r="B41" s="628"/>
      <c r="C41" s="658"/>
      <c r="D41" s="249" t="s">
        <v>121</v>
      </c>
      <c r="E41" s="250">
        <f>Weights!I104</f>
        <v>1.8766666666666667</v>
      </c>
      <c r="F41" s="77">
        <f>Weights!M104</f>
        <v>0.54499999999999993</v>
      </c>
      <c r="G41" s="247">
        <f t="shared" si="0"/>
        <v>70.959147424511542</v>
      </c>
      <c r="H41" s="286"/>
      <c r="I41" s="162">
        <f>Picogreen!AY52</f>
        <v>23.347561153846151</v>
      </c>
      <c r="J41" s="134">
        <f t="shared" si="4"/>
        <v>42.839561750176429</v>
      </c>
      <c r="K41" s="162">
        <f>DMMB!AY60</f>
        <v>237.95680000000047</v>
      </c>
      <c r="L41" s="162">
        <f t="shared" si="13"/>
        <v>10191.933899734138</v>
      </c>
      <c r="M41" s="162">
        <f t="shared" si="14"/>
        <v>436.61798165137708</v>
      </c>
      <c r="N41" s="138">
        <f>OHP!CY52</f>
        <v>80.73455743482954</v>
      </c>
      <c r="O41" s="162">
        <f>(N41*1000)/I41</f>
        <v>3457.9439326805132</v>
      </c>
      <c r="P41" s="134">
        <f>N41/F41</f>
        <v>148.13680263271476</v>
      </c>
      <c r="Q41" s="162">
        <f>Rx!CA7</f>
        <v>5.9439443861495E-3</v>
      </c>
      <c r="R41" s="162">
        <f t="shared" si="15"/>
        <v>2.5458523684690411E-4</v>
      </c>
      <c r="S41" s="134">
        <f t="shared" si="16"/>
        <v>1.0906319974586239E-2</v>
      </c>
      <c r="T41" s="162">
        <f>Rx!CE7</f>
        <v>4.6651708633307098</v>
      </c>
      <c r="U41" s="162">
        <f>T41/I41</f>
        <v>0.19981405477814521</v>
      </c>
      <c r="V41" s="134">
        <f>T41/F41</f>
        <v>8.559946538221487</v>
      </c>
      <c r="W41" s="281"/>
      <c r="X41" s="281"/>
      <c r="Y41" s="385"/>
      <c r="Z41" s="162">
        <f t="shared" si="3"/>
        <v>3.4434250764525998</v>
      </c>
      <c r="AA41" s="124"/>
      <c r="AB41" s="124"/>
    </row>
    <row r="42" spans="2:28" x14ac:dyDescent="0.25">
      <c r="B42" s="628"/>
      <c r="C42" s="680" t="s">
        <v>715</v>
      </c>
      <c r="D42" s="197" t="s">
        <v>46</v>
      </c>
      <c r="E42" s="199">
        <f>Weights!I124</f>
        <v>1.89</v>
      </c>
      <c r="F42" s="124">
        <f>Weights!M124</f>
        <v>0.54333333333333333</v>
      </c>
      <c r="G42" s="204">
        <f t="shared" si="0"/>
        <v>71.25220458553791</v>
      </c>
      <c r="H42" s="204">
        <f>'Alamar Blue - Analysis'!F47</f>
        <v>2.1166666666666667</v>
      </c>
      <c r="I42">
        <f>Picogreen!BN55</f>
        <v>42.532383999999993</v>
      </c>
      <c r="J42" s="132">
        <f t="shared" si="4"/>
        <v>78.28046134969324</v>
      </c>
      <c r="K42">
        <f>DMMB!BN63</f>
        <v>353.09469999999988</v>
      </c>
      <c r="L42">
        <f t="shared" ref="L42:L49" si="17">K42*1000/I42</f>
        <v>8301.7848235358724</v>
      </c>
      <c r="M42">
        <f t="shared" ref="M42:M49" si="18">K42/F42</f>
        <v>649.86754601226971</v>
      </c>
      <c r="N42" s="79"/>
      <c r="P42" s="132"/>
      <c r="Q42">
        <f>Rx!CM12</f>
        <v>4.64496644140046E-4</v>
      </c>
      <c r="R42">
        <f t="shared" si="15"/>
        <v>1.0921011249687911E-5</v>
      </c>
      <c r="S42" s="132">
        <f t="shared" si="16"/>
        <v>8.5490179903075945E-4</v>
      </c>
      <c r="T42">
        <f>Rx!CQ12</f>
        <v>4.7297679493771803</v>
      </c>
      <c r="U42">
        <f>T42/I42</f>
        <v>0.11120392285974802</v>
      </c>
      <c r="V42" s="132">
        <f>T42/F42</f>
        <v>8.705094385356773</v>
      </c>
      <c r="W42" s="271"/>
      <c r="X42" s="271"/>
      <c r="Y42" s="384"/>
      <c r="AA42" s="124"/>
      <c r="AB42" s="124"/>
    </row>
    <row r="43" spans="2:28" x14ac:dyDescent="0.25">
      <c r="B43" s="628"/>
      <c r="C43" s="657"/>
      <c r="D43" s="197" t="s">
        <v>44</v>
      </c>
      <c r="E43" s="199">
        <f>Weights!I125</f>
        <v>1.8066666666666666</v>
      </c>
      <c r="F43" s="124">
        <f>Weights!M125</f>
        <v>0.5</v>
      </c>
      <c r="G43" s="204">
        <f t="shared" si="0"/>
        <v>72.32472324723247</v>
      </c>
      <c r="H43" s="204">
        <f>'Alamar Blue - Analysis'!F48</f>
        <v>2.2333333333333334</v>
      </c>
      <c r="I43">
        <f>Picogreen!BN56</f>
        <v>44.668858999999998</v>
      </c>
      <c r="J43" s="132">
        <f t="shared" si="4"/>
        <v>89.337717999999995</v>
      </c>
      <c r="K43">
        <f>DMMB!BN64</f>
        <v>346.58799999999985</v>
      </c>
      <c r="L43">
        <f t="shared" si="17"/>
        <v>7759.0520053355258</v>
      </c>
      <c r="M43">
        <f t="shared" si="18"/>
        <v>693.1759999999997</v>
      </c>
      <c r="N43" s="79"/>
      <c r="P43" s="132"/>
      <c r="Q43">
        <f>Rx!CM13</f>
        <v>4.76720240038469E-4</v>
      </c>
      <c r="R43">
        <f t="shared" ref="R43:R49" si="19">Q43/I43</f>
        <v>1.0672317375253955E-5</v>
      </c>
      <c r="S43" s="132">
        <f t="shared" ref="S43:S49" si="20">Q43/F43</f>
        <v>9.5344048007693801E-4</v>
      </c>
      <c r="T43">
        <f>Rx!CQ13</f>
        <v>6.5078103451615599</v>
      </c>
      <c r="U43">
        <f t="shared" ref="U43:U49" si="21">T43/I43</f>
        <v>0.14569009575914085</v>
      </c>
      <c r="V43" s="132">
        <f t="shared" ref="V43:V49" si="22">T43/F43</f>
        <v>13.01562069032312</v>
      </c>
      <c r="W43" s="271"/>
      <c r="X43" s="271"/>
      <c r="Y43" s="384"/>
      <c r="AA43" s="124"/>
      <c r="AB43" s="124"/>
    </row>
    <row r="44" spans="2:28" x14ac:dyDescent="0.25">
      <c r="B44" s="628"/>
      <c r="C44" s="657"/>
      <c r="D44" s="197" t="s">
        <v>45</v>
      </c>
      <c r="E44" s="199">
        <f>Weights!I126</f>
        <v>1.5750000000000002</v>
      </c>
      <c r="F44" s="124">
        <f>Weights!M126</f>
        <v>0.47</v>
      </c>
      <c r="G44" s="204">
        <f t="shared" si="0"/>
        <v>70.158730158730165</v>
      </c>
      <c r="H44" s="204">
        <f>'Alamar Blue - Analysis'!F49</f>
        <v>1.7916666666666667</v>
      </c>
      <c r="I44">
        <f>Picogreen!BN57</f>
        <v>37.832138999999998</v>
      </c>
      <c r="J44" s="132">
        <f t="shared" si="4"/>
        <v>80.493912765957447</v>
      </c>
      <c r="K44">
        <f>DMMB!BN65</f>
        <v>333.57459999999975</v>
      </c>
      <c r="L44">
        <f t="shared" si="17"/>
        <v>8817.2281244790247</v>
      </c>
      <c r="M44">
        <f t="shared" si="18"/>
        <v>709.73319148936116</v>
      </c>
      <c r="N44" s="79"/>
      <c r="P44" s="132"/>
      <c r="Q44">
        <f>Rx!CM14</f>
        <v>3.9543332731396E-4</v>
      </c>
      <c r="R44">
        <f t="shared" si="19"/>
        <v>1.0452312181290093E-5</v>
      </c>
      <c r="S44" s="132">
        <f t="shared" si="20"/>
        <v>8.4134750492331919E-4</v>
      </c>
      <c r="T44">
        <f>Rx!CQ14</f>
        <v>5.6669627097167297</v>
      </c>
      <c r="U44">
        <f t="shared" si="21"/>
        <v>0.14979228929447341</v>
      </c>
      <c r="V44" s="132">
        <f t="shared" si="22"/>
        <v>12.057367467482404</v>
      </c>
      <c r="W44" s="271"/>
      <c r="X44" s="271"/>
      <c r="Y44" s="384"/>
      <c r="AA44" s="124"/>
      <c r="AB44" s="124"/>
    </row>
    <row r="45" spans="2:28" x14ac:dyDescent="0.25">
      <c r="B45" s="628"/>
      <c r="C45" s="657"/>
      <c r="D45" s="197" t="s">
        <v>47</v>
      </c>
      <c r="E45" s="199">
        <f>Weights!I127</f>
        <v>1.7</v>
      </c>
      <c r="F45" s="124">
        <f>Weights!M127</f>
        <v>0.50666666666666671</v>
      </c>
      <c r="G45" s="204">
        <f t="shared" si="0"/>
        <v>70.196078431372541</v>
      </c>
      <c r="H45" s="204">
        <f>'Alamar Blue - Analysis'!F50</f>
        <v>2.5249999999999999</v>
      </c>
      <c r="I45">
        <f>Picogreen!BN58</f>
        <v>45.096153999999999</v>
      </c>
      <c r="J45" s="132">
        <f t="shared" si="4"/>
        <v>89.005567105263154</v>
      </c>
      <c r="K45">
        <f>DMMB!BN66</f>
        <v>318.39229999999986</v>
      </c>
      <c r="L45">
        <f t="shared" si="17"/>
        <v>7060.2983128006854</v>
      </c>
      <c r="M45">
        <f t="shared" si="18"/>
        <v>628.4058552631576</v>
      </c>
      <c r="N45" s="79"/>
      <c r="P45" s="132"/>
      <c r="Q45">
        <f>Rx!CM15</f>
        <v>5.2072518527278896E-4</v>
      </c>
      <c r="R45">
        <f t="shared" si="19"/>
        <v>1.1546997672413239E-5</v>
      </c>
      <c r="S45" s="132">
        <f t="shared" si="20"/>
        <v>1.0277470761962939E-3</v>
      </c>
      <c r="T45">
        <f>Rx!CQ15</f>
        <v>6.42022204980272</v>
      </c>
      <c r="U45">
        <f t="shared" si="21"/>
        <v>0.14236739678072591</v>
      </c>
      <c r="V45" s="132">
        <f t="shared" si="22"/>
        <v>12.671490887768526</v>
      </c>
      <c r="W45" s="271"/>
      <c r="X45" s="271"/>
      <c r="Y45" s="384"/>
      <c r="AA45" s="124"/>
      <c r="AB45" s="124"/>
    </row>
    <row r="46" spans="2:28" x14ac:dyDescent="0.25">
      <c r="B46" s="628"/>
      <c r="C46" s="657"/>
      <c r="D46" s="197" t="s">
        <v>48</v>
      </c>
      <c r="E46" s="199">
        <f>Weights!I128</f>
        <v>1.6333333333333335</v>
      </c>
      <c r="F46" s="124">
        <f>Weights!M128</f>
        <v>0.51</v>
      </c>
      <c r="G46" s="204">
        <f t="shared" si="0"/>
        <v>68.775510204081627</v>
      </c>
      <c r="H46" s="204"/>
      <c r="I46">
        <f>Picogreen!BN59</f>
        <v>44.241563999999997</v>
      </c>
      <c r="J46" s="132">
        <f t="shared" si="4"/>
        <v>86.748164705882346</v>
      </c>
      <c r="K46">
        <f>DMMB!BN67</f>
        <v>366.10810000000004</v>
      </c>
      <c r="L46">
        <f t="shared" si="17"/>
        <v>8275.2069976549665</v>
      </c>
      <c r="M46">
        <f t="shared" si="18"/>
        <v>717.85901960784315</v>
      </c>
      <c r="N46" s="79"/>
      <c r="P46" s="132"/>
      <c r="Q46">
        <f>Rx!CM16</f>
        <v>3.8687681018506501E-4</v>
      </c>
      <c r="R46">
        <f t="shared" si="19"/>
        <v>8.74464587610567E-6</v>
      </c>
      <c r="S46" s="132">
        <f t="shared" si="20"/>
        <v>7.5858198075502942E-4</v>
      </c>
      <c r="T46">
        <f>Rx!CQ16</f>
        <v>5.4830272894631698</v>
      </c>
      <c r="U46">
        <f t="shared" si="21"/>
        <v>0.12393384848381875</v>
      </c>
      <c r="V46" s="132">
        <f t="shared" si="22"/>
        <v>10.751033900908176</v>
      </c>
      <c r="W46" s="271"/>
      <c r="X46" s="271"/>
      <c r="Y46" s="384"/>
      <c r="AA46" s="124"/>
      <c r="AB46" s="124"/>
    </row>
    <row r="47" spans="2:28" x14ac:dyDescent="0.25">
      <c r="B47" s="628"/>
      <c r="C47" s="657"/>
      <c r="D47" s="197" t="s">
        <v>49</v>
      </c>
      <c r="E47" s="199">
        <f>Weights!I129</f>
        <v>1.75</v>
      </c>
      <c r="F47" s="124">
        <f>Weights!M129</f>
        <v>0.51333333333333331</v>
      </c>
      <c r="G47" s="204">
        <f t="shared" si="0"/>
        <v>70.666666666666671</v>
      </c>
      <c r="H47" s="204">
        <f>'Alamar Blue - Analysis'!F52</f>
        <v>2.3916666666666666</v>
      </c>
      <c r="I47">
        <f>Picogreen!BN60</f>
        <v>44.241563999999997</v>
      </c>
      <c r="J47" s="132">
        <f t="shared" si="4"/>
        <v>86.184864935064937</v>
      </c>
      <c r="K47">
        <f>DMMB!BN68</f>
        <v>355.26359999999983</v>
      </c>
      <c r="L47">
        <f t="shared" si="17"/>
        <v>8030.0868206196292</v>
      </c>
      <c r="M47">
        <f t="shared" si="18"/>
        <v>692.07194805194774</v>
      </c>
      <c r="N47" s="79"/>
      <c r="P47" s="132"/>
      <c r="Q47">
        <f>Rx!CM17</f>
        <v>4.55940127011151E-4</v>
      </c>
      <c r="R47">
        <f t="shared" si="19"/>
        <v>1.0305696403751708E-5</v>
      </c>
      <c r="S47" s="132">
        <f t="shared" si="20"/>
        <v>8.8819505261912535E-4</v>
      </c>
      <c r="T47">
        <f>Rx!CQ17</f>
        <v>5.0626034717407604</v>
      </c>
      <c r="U47">
        <f t="shared" si="21"/>
        <v>0.11443093358410115</v>
      </c>
      <c r="V47" s="132">
        <f t="shared" si="22"/>
        <v>9.8622145553391434</v>
      </c>
      <c r="W47" s="271"/>
      <c r="X47" s="271"/>
      <c r="Y47" s="384"/>
      <c r="AA47" s="124"/>
      <c r="AB47" s="124"/>
    </row>
    <row r="48" spans="2:28" x14ac:dyDescent="0.25">
      <c r="B48" s="628"/>
      <c r="C48" s="657"/>
      <c r="D48" s="197" t="s">
        <v>711</v>
      </c>
      <c r="E48" s="199">
        <f>Weights!I130</f>
        <v>1.5066666666666666</v>
      </c>
      <c r="F48" s="124">
        <f>Weights!M130</f>
        <v>0.53333333333333333</v>
      </c>
      <c r="G48" s="204">
        <f t="shared" si="0"/>
        <v>64.601769911504419</v>
      </c>
      <c r="H48" s="204"/>
      <c r="I48">
        <f>Picogreen!BN61</f>
        <v>45.950744</v>
      </c>
      <c r="J48" s="132">
        <f t="shared" si="4"/>
        <v>86.157645000000002</v>
      </c>
      <c r="K48">
        <f>DMMB!BN69</f>
        <v>316.22339999999963</v>
      </c>
      <c r="L48">
        <f t="shared" si="17"/>
        <v>6881.7906408653498</v>
      </c>
      <c r="M48">
        <f t="shared" si="18"/>
        <v>592.91887499999928</v>
      </c>
      <c r="N48" s="79"/>
      <c r="P48" s="132"/>
      <c r="Q48">
        <f>Rx!CM18</f>
        <v>5.2439226404231497E-4</v>
      </c>
      <c r="R48">
        <f t="shared" si="19"/>
        <v>1.1412051653446894E-5</v>
      </c>
      <c r="S48" s="132">
        <f t="shared" si="20"/>
        <v>9.8323549507934064E-4</v>
      </c>
      <c r="T48">
        <f>Rx!CQ18</f>
        <v>6.2625631181568204</v>
      </c>
      <c r="U48">
        <f t="shared" si="21"/>
        <v>0.13628861195711697</v>
      </c>
      <c r="V48" s="132">
        <f t="shared" si="22"/>
        <v>11.742305846544038</v>
      </c>
      <c r="W48" s="271"/>
      <c r="X48" s="271"/>
      <c r="Y48" s="384"/>
      <c r="AA48" s="124"/>
      <c r="AB48" s="124"/>
    </row>
    <row r="49" spans="2:28" ht="15.75" thickBot="1" x14ac:dyDescent="0.3">
      <c r="B49" s="628"/>
      <c r="C49" s="657"/>
      <c r="D49" s="197" t="s">
        <v>712</v>
      </c>
      <c r="E49" s="199">
        <f>Weights!I131</f>
        <v>1.7149999999999999</v>
      </c>
      <c r="F49" s="124">
        <f>Weights!M131</f>
        <v>0.53</v>
      </c>
      <c r="G49" s="204">
        <f t="shared" si="0"/>
        <v>69.096209912536438</v>
      </c>
      <c r="H49" s="204"/>
      <c r="I49">
        <f>Picogreen!BN62</f>
        <v>57.060413999999994</v>
      </c>
      <c r="J49" s="132">
        <f t="shared" si="4"/>
        <v>107.66115849056602</v>
      </c>
      <c r="K49">
        <f>DMMB!BN70</f>
        <v>366.10810000000004</v>
      </c>
      <c r="L49">
        <f t="shared" si="17"/>
        <v>6416.1486805896657</v>
      </c>
      <c r="M49">
        <f t="shared" si="18"/>
        <v>690.77</v>
      </c>
      <c r="N49" s="79"/>
      <c r="P49" s="132"/>
      <c r="Q49">
        <f>Rx!CM19</f>
        <v>5.2255872465755196E-4</v>
      </c>
      <c r="R49">
        <f t="shared" si="19"/>
        <v>9.1579904179726417E-6</v>
      </c>
      <c r="S49" s="132">
        <f t="shared" si="20"/>
        <v>9.8595985784443764E-4</v>
      </c>
      <c r="T49">
        <f>Rx!CQ19</f>
        <v>5.9384864253291196</v>
      </c>
      <c r="U49">
        <f t="shared" si="21"/>
        <v>0.10407366524415894</v>
      </c>
      <c r="V49" s="132">
        <f t="shared" si="22"/>
        <v>11.204691368545507</v>
      </c>
      <c r="W49" s="271"/>
      <c r="X49" s="271"/>
      <c r="Y49" s="384"/>
      <c r="AA49" s="124"/>
      <c r="AB49" s="124"/>
    </row>
    <row r="50" spans="2:28" x14ac:dyDescent="0.25">
      <c r="B50" s="627" t="s">
        <v>149</v>
      </c>
      <c r="C50" s="635" t="s">
        <v>50</v>
      </c>
      <c r="D50" s="196" t="s">
        <v>46</v>
      </c>
      <c r="E50" s="201">
        <f>Weights!I32</f>
        <v>2.2266666666666666</v>
      </c>
      <c r="F50" s="212">
        <f>Weights!M32</f>
        <v>0.52500000000000002</v>
      </c>
      <c r="G50" s="205">
        <f t="shared" si="0"/>
        <v>76.422155688622752</v>
      </c>
      <c r="H50" s="205">
        <f>'Alamar Blue - Analysis'!F39</f>
        <v>2.7185185185185183</v>
      </c>
      <c r="I50" s="8">
        <f>Picogreen!F67</f>
        <v>60.289263333333324</v>
      </c>
      <c r="J50" s="202">
        <f t="shared" ref="J50:J65" si="23">I50/F50</f>
        <v>114.83669206349204</v>
      </c>
      <c r="K50" s="8">
        <f>DMMB!F75</f>
        <v>96.249999999999716</v>
      </c>
      <c r="L50" s="8">
        <f t="shared" ref="L50:L55" si="24">K50*1000/I50</f>
        <v>1596.4699961225776</v>
      </c>
      <c r="M50" s="8">
        <f t="shared" ref="M50:M55" si="25">K50/F50</f>
        <v>183.33333333333277</v>
      </c>
      <c r="N50" s="251">
        <f>OHP!W52</f>
        <v>122.24103508774037</v>
      </c>
      <c r="O50" s="8">
        <f t="shared" ref="O50:O64" si="26">(N50*1000)/I50</f>
        <v>2027.5755305199514</v>
      </c>
      <c r="P50" s="202">
        <f t="shared" ref="P50:P64" si="27">N50/F50</f>
        <v>232.84006683379118</v>
      </c>
      <c r="Q50" s="279"/>
      <c r="R50" s="283"/>
      <c r="S50" s="284"/>
      <c r="T50" s="283"/>
      <c r="U50" s="283"/>
      <c r="V50" s="284"/>
      <c r="W50" s="283"/>
      <c r="X50" s="283"/>
      <c r="Y50" s="383"/>
      <c r="Z50">
        <f t="shared" si="3"/>
        <v>4.2412698412698413</v>
      </c>
    </row>
    <row r="51" spans="2:28" x14ac:dyDescent="0.25">
      <c r="B51" s="628"/>
      <c r="C51" s="657"/>
      <c r="D51" s="197" t="s">
        <v>44</v>
      </c>
      <c r="E51" s="199">
        <f>Weights!I33</f>
        <v>2.2866666666666666</v>
      </c>
      <c r="F51" s="124">
        <f>Weights!M33</f>
        <v>0.58000000000000007</v>
      </c>
      <c r="G51" s="204">
        <f t="shared" si="0"/>
        <v>74.635568513119537</v>
      </c>
      <c r="H51" s="204">
        <f>'Alamar Blue - Analysis'!F40</f>
        <v>1.785185185185185</v>
      </c>
      <c r="I51">
        <f>Picogreen!F68</f>
        <v>36.140963333333325</v>
      </c>
      <c r="J51" s="132">
        <f t="shared" si="23"/>
        <v>62.312005747126413</v>
      </c>
      <c r="K51">
        <f>DMMB!F76</f>
        <v>175.66449999999975</v>
      </c>
      <c r="L51">
        <f t="shared" si="24"/>
        <v>4860.5372906034818</v>
      </c>
      <c r="M51">
        <f t="shared" si="25"/>
        <v>302.86982758620644</v>
      </c>
      <c r="N51" s="79">
        <f>OHP!W53</f>
        <v>150.60660238774037</v>
      </c>
      <c r="O51">
        <f t="shared" si="26"/>
        <v>4167.1994461983186</v>
      </c>
      <c r="P51" s="132">
        <f t="shared" si="27"/>
        <v>259.66655584093161</v>
      </c>
      <c r="Q51" s="271"/>
      <c r="R51" s="271"/>
      <c r="S51" s="272"/>
      <c r="T51" s="271"/>
      <c r="U51" s="271"/>
      <c r="V51" s="272"/>
      <c r="W51" s="271"/>
      <c r="X51" s="271"/>
      <c r="Y51" s="384"/>
      <c r="Z51">
        <f t="shared" si="3"/>
        <v>3.9425287356321834</v>
      </c>
    </row>
    <row r="52" spans="2:28" x14ac:dyDescent="0.25">
      <c r="B52" s="628"/>
      <c r="C52" s="657"/>
      <c r="D52" s="197" t="s">
        <v>45</v>
      </c>
      <c r="E52" s="199">
        <f>Weights!I34</f>
        <v>1.9066666666666665</v>
      </c>
      <c r="F52" s="124">
        <f>Weights!M34</f>
        <v>0.49</v>
      </c>
      <c r="G52" s="204">
        <f t="shared" si="0"/>
        <v>74.300699300699293</v>
      </c>
      <c r="H52" s="204">
        <f>'Alamar Blue - Analysis'!F41</f>
        <v>2.162962962962963</v>
      </c>
      <c r="I52">
        <f>Picogreen!F69</f>
        <v>44.92216333333333</v>
      </c>
      <c r="J52" s="132">
        <f t="shared" si="23"/>
        <v>91.67788435374149</v>
      </c>
      <c r="K52">
        <f>DMMB!F77</f>
        <v>204.54249999999973</v>
      </c>
      <c r="L52">
        <f t="shared" si="24"/>
        <v>4553.2646876831122</v>
      </c>
      <c r="M52">
        <f t="shared" si="25"/>
        <v>417.4336734693872</v>
      </c>
      <c r="N52" s="79">
        <f>OHP!W54</f>
        <v>101.98406745649039</v>
      </c>
      <c r="O52">
        <f t="shared" si="26"/>
        <v>2270.2394517321864</v>
      </c>
      <c r="P52" s="132">
        <f t="shared" si="27"/>
        <v>208.1307499112049</v>
      </c>
      <c r="Q52" s="271"/>
      <c r="R52" s="271"/>
      <c r="S52" s="272"/>
      <c r="T52" s="271"/>
      <c r="U52" s="271"/>
      <c r="V52" s="272"/>
      <c r="W52" s="271"/>
      <c r="X52" s="271"/>
      <c r="Y52" s="384"/>
      <c r="Z52">
        <f t="shared" si="3"/>
        <v>3.8911564625850339</v>
      </c>
    </row>
    <row r="53" spans="2:28" x14ac:dyDescent="0.25">
      <c r="B53" s="628"/>
      <c r="C53" s="657"/>
      <c r="D53" s="197" t="s">
        <v>47</v>
      </c>
      <c r="E53" s="199">
        <f>Weights!I35</f>
        <v>2.4566666666666666</v>
      </c>
      <c r="F53" s="124">
        <f>Weights!M35</f>
        <v>0.55000000000000004</v>
      </c>
      <c r="G53" s="204">
        <f t="shared" si="0"/>
        <v>77.611940298507463</v>
      </c>
      <c r="H53" s="204">
        <f>'Alamar Blue - Analysis'!F42</f>
        <v>1.8592592592592594</v>
      </c>
      <c r="I53">
        <f>Picogreen!F70</f>
        <v>47.117463333333333</v>
      </c>
      <c r="J53" s="132">
        <f t="shared" si="23"/>
        <v>85.668115151515138</v>
      </c>
      <c r="K53">
        <f>DMMB!F78</f>
        <v>209.35549999999995</v>
      </c>
      <c r="L53">
        <f t="shared" si="24"/>
        <v>4443.2676377102634</v>
      </c>
      <c r="M53">
        <f t="shared" si="25"/>
        <v>380.6463636363635</v>
      </c>
      <c r="N53" s="79">
        <f>OHP!W55</f>
        <v>145.72400473774039</v>
      </c>
      <c r="O53">
        <f t="shared" si="26"/>
        <v>3092.7811989116076</v>
      </c>
      <c r="P53" s="132">
        <f t="shared" si="27"/>
        <v>264.95273588680067</v>
      </c>
      <c r="Q53" s="271"/>
      <c r="R53" s="271"/>
      <c r="S53" s="272"/>
      <c r="T53" s="271"/>
      <c r="U53" s="271"/>
      <c r="V53" s="272"/>
      <c r="W53" s="271"/>
      <c r="X53" s="271"/>
      <c r="Y53" s="384"/>
      <c r="Z53">
        <f t="shared" si="3"/>
        <v>4.4666666666666659</v>
      </c>
    </row>
    <row r="54" spans="2:28" x14ac:dyDescent="0.25">
      <c r="B54" s="628"/>
      <c r="C54" s="657"/>
      <c r="D54" s="197" t="s">
        <v>48</v>
      </c>
      <c r="E54" s="199">
        <f>Weights!I36</f>
        <v>2.1999999999999997</v>
      </c>
      <c r="F54" s="124">
        <f>Weights!M36</f>
        <v>0.61</v>
      </c>
      <c r="G54" s="204">
        <f t="shared" si="0"/>
        <v>72.27272727272728</v>
      </c>
      <c r="H54" s="204">
        <f>'Alamar Blue - Analysis'!F43</f>
        <v>1.9851851851851852</v>
      </c>
      <c r="I54">
        <f>Picogreen!F71</f>
        <v>73.461063333333328</v>
      </c>
      <c r="J54" s="132">
        <f t="shared" si="23"/>
        <v>120.42797267759562</v>
      </c>
      <c r="K54">
        <f>DMMB!F79</f>
        <v>259.89199999999971</v>
      </c>
      <c r="L54">
        <f t="shared" si="24"/>
        <v>3537.8197402442497</v>
      </c>
      <c r="M54">
        <f t="shared" si="25"/>
        <v>426.05245901639296</v>
      </c>
      <c r="N54" s="79">
        <f>OHP!W56</f>
        <v>125.49610018774038</v>
      </c>
      <c r="O54">
        <f t="shared" si="26"/>
        <v>1708.3349259225313</v>
      </c>
      <c r="P54" s="132">
        <f t="shared" si="27"/>
        <v>205.73131178318096</v>
      </c>
      <c r="Q54" s="271"/>
      <c r="R54" s="271"/>
      <c r="S54" s="272"/>
      <c r="T54" s="271"/>
      <c r="U54" s="271"/>
      <c r="V54" s="272"/>
      <c r="W54" s="271"/>
      <c r="X54" s="271"/>
      <c r="Y54" s="384"/>
      <c r="Z54">
        <f t="shared" si="3"/>
        <v>3.6065573770491799</v>
      </c>
    </row>
    <row r="55" spans="2:28" x14ac:dyDescent="0.25">
      <c r="B55" s="628"/>
      <c r="C55" s="658"/>
      <c r="D55" s="249" t="s">
        <v>49</v>
      </c>
      <c r="E55" s="250">
        <f>Weights!I37</f>
        <v>2.0133333333333332</v>
      </c>
      <c r="F55" s="77">
        <f>Weights!M37</f>
        <v>0.53</v>
      </c>
      <c r="G55" s="247">
        <f t="shared" si="0"/>
        <v>73.675496688741717</v>
      </c>
      <c r="H55" s="247">
        <f>'Alamar Blue - Analysis'!F44</f>
        <v>2.5333333333333332</v>
      </c>
      <c r="I55" s="162">
        <f>Picogreen!F72</f>
        <v>67.972813333333335</v>
      </c>
      <c r="J55" s="134">
        <f t="shared" si="23"/>
        <v>128.25059119496854</v>
      </c>
      <c r="K55" s="162">
        <f>DMMB!F80</f>
        <v>259.89200000000022</v>
      </c>
      <c r="L55" s="162">
        <f t="shared" si="24"/>
        <v>3823.4698146965065</v>
      </c>
      <c r="M55" s="162">
        <f t="shared" si="25"/>
        <v>490.36226415094382</v>
      </c>
      <c r="N55" s="138">
        <f>OHP!W57</f>
        <v>106.80853894399038</v>
      </c>
      <c r="O55" s="162">
        <f t="shared" si="26"/>
        <v>1571.3420367082601</v>
      </c>
      <c r="P55" s="134">
        <f t="shared" si="27"/>
        <v>201.52554517734035</v>
      </c>
      <c r="Q55" s="281"/>
      <c r="R55" s="281"/>
      <c r="S55" s="282"/>
      <c r="T55" s="281"/>
      <c r="U55" s="281"/>
      <c r="V55" s="282"/>
      <c r="W55" s="281"/>
      <c r="X55" s="281"/>
      <c r="Y55" s="385"/>
      <c r="Z55">
        <f t="shared" si="3"/>
        <v>3.7987421383647795</v>
      </c>
      <c r="AA55" s="124"/>
      <c r="AB55" s="124"/>
    </row>
    <row r="56" spans="2:28" x14ac:dyDescent="0.25">
      <c r="B56" s="628"/>
      <c r="C56" s="680" t="s">
        <v>153</v>
      </c>
      <c r="D56" s="387" t="s">
        <v>117</v>
      </c>
      <c r="E56" s="388">
        <f>Weights!I89</f>
        <v>1.9200000000000002</v>
      </c>
      <c r="F56" s="391">
        <f>Weights!M89</f>
        <v>0.52500000000000002</v>
      </c>
      <c r="G56" s="389">
        <f t="shared" si="0"/>
        <v>72.65625</v>
      </c>
      <c r="H56" s="390"/>
      <c r="I56" s="268">
        <f>Picogreen!AJ68</f>
        <v>41.439069999999994</v>
      </c>
      <c r="J56" s="133">
        <f t="shared" si="23"/>
        <v>78.931561904761892</v>
      </c>
      <c r="K56" s="268">
        <f>DMMB!AJ76</f>
        <v>201.60379999999975</v>
      </c>
      <c r="L56" s="268">
        <f t="shared" ref="L56:L64" si="28">K56*1000/I56</f>
        <v>4865.065745925277</v>
      </c>
      <c r="M56" s="268">
        <f t="shared" ref="M56:M64" si="29">K56/F56</f>
        <v>384.0072380952376</v>
      </c>
      <c r="N56" s="163">
        <f>OHP!CI57</f>
        <v>104.5660509585767</v>
      </c>
      <c r="O56" s="268">
        <f t="shared" si="26"/>
        <v>2523.368670160231</v>
      </c>
      <c r="P56" s="133">
        <f t="shared" si="27"/>
        <v>199.17343039728894</v>
      </c>
      <c r="Q56" s="268">
        <f>Rx!AI31</f>
        <v>5.8344333164760251E-3</v>
      </c>
      <c r="R56" s="268">
        <f>Q56/I56</f>
        <v>1.4079546950440794E-4</v>
      </c>
      <c r="S56" s="133">
        <f>Q56/F56</f>
        <v>1.1113206317097189E-2</v>
      </c>
      <c r="T56" s="391">
        <f>Rx!AX31</f>
        <v>2.4038273281183695</v>
      </c>
      <c r="U56" s="268">
        <f>T56/I56</f>
        <v>5.8008718055650617E-2</v>
      </c>
      <c r="V56" s="133">
        <f>T56/F56</f>
        <v>4.5787187202254653</v>
      </c>
      <c r="W56" s="392"/>
      <c r="X56" s="393"/>
      <c r="Y56" s="394"/>
      <c r="Z56">
        <f t="shared" si="3"/>
        <v>3.6571428571428575</v>
      </c>
    </row>
    <row r="57" spans="2:28" x14ac:dyDescent="0.25">
      <c r="B57" s="628"/>
      <c r="C57" s="657"/>
      <c r="D57" s="197" t="s">
        <v>118</v>
      </c>
      <c r="E57" s="199">
        <f>Weights!I90</f>
        <v>2.1966666666666668</v>
      </c>
      <c r="F57" s="124">
        <f>Weights!M90</f>
        <v>0.64</v>
      </c>
      <c r="G57" s="204">
        <f t="shared" si="0"/>
        <v>70.864946889226104</v>
      </c>
      <c r="H57" s="273"/>
      <c r="I57">
        <f>Picogreen!AJ69</f>
        <v>25.582829999999994</v>
      </c>
      <c r="J57" s="132">
        <f t="shared" si="23"/>
        <v>39.973171874999991</v>
      </c>
      <c r="K57">
        <f>DMMB!AJ77</f>
        <v>187.23319999999973</v>
      </c>
      <c r="L57">
        <f t="shared" si="28"/>
        <v>7318.7055536858024</v>
      </c>
      <c r="M57">
        <f t="shared" si="29"/>
        <v>292.55187499999954</v>
      </c>
      <c r="N57" s="79">
        <f>OHP!CI58</f>
        <v>98.144390385076704</v>
      </c>
      <c r="O57">
        <f t="shared" si="26"/>
        <v>3836.3382934990668</v>
      </c>
      <c r="P57" s="132">
        <f t="shared" si="27"/>
        <v>153.35060997668234</v>
      </c>
      <c r="Q57">
        <f>Rx!AI32</f>
        <v>9.4347239917141402E-4</v>
      </c>
      <c r="R57">
        <f>Q57/I57</f>
        <v>3.6879125537378558E-5</v>
      </c>
      <c r="S57" s="132">
        <f>Q57/F57</f>
        <v>1.4741756237053344E-3</v>
      </c>
      <c r="T57">
        <f>Rx!AX32</f>
        <v>0.25218724201241827</v>
      </c>
      <c r="U57">
        <f>T57/I57</f>
        <v>9.8576757150173888E-3</v>
      </c>
      <c r="V57" s="132">
        <f>T57/F57</f>
        <v>0.39404256564440354</v>
      </c>
      <c r="W57" s="271"/>
      <c r="X57" s="271"/>
      <c r="Y57" s="384"/>
      <c r="Z57">
        <f t="shared" si="3"/>
        <v>3.432291666666667</v>
      </c>
    </row>
    <row r="58" spans="2:28" x14ac:dyDescent="0.25">
      <c r="B58" s="628"/>
      <c r="C58" s="657"/>
      <c r="D58" s="197" t="s">
        <v>119</v>
      </c>
      <c r="E58" s="199">
        <f>Weights!I91</f>
        <v>2.1266666666666669</v>
      </c>
      <c r="F58" s="124">
        <f>Weights!M91</f>
        <v>0.6</v>
      </c>
      <c r="G58" s="204">
        <f t="shared" si="0"/>
        <v>71.786833855799372</v>
      </c>
      <c r="H58" s="273"/>
      <c r="I58">
        <f>Picogreen!AJ70</f>
        <v>23.251029999999997</v>
      </c>
      <c r="J58" s="132">
        <f t="shared" si="23"/>
        <v>38.75171666666666</v>
      </c>
      <c r="K58">
        <f>DMMB!AJ78</f>
        <v>182.44300000000024</v>
      </c>
      <c r="L58">
        <f t="shared" si="28"/>
        <v>7846.6631370739387</v>
      </c>
      <c r="M58">
        <f t="shared" si="29"/>
        <v>304.07166666666706</v>
      </c>
      <c r="N58" s="79">
        <f>OHP!CI59</f>
        <v>73.814047091514212</v>
      </c>
      <c r="O58">
        <f t="shared" si="26"/>
        <v>3174.6570836437877</v>
      </c>
      <c r="P58" s="132">
        <f t="shared" si="27"/>
        <v>123.02341181919036</v>
      </c>
      <c r="Q58">
        <f>Rx!AI33</f>
        <v>8.2270793207747314E-4</v>
      </c>
      <c r="R58">
        <f>Q58/I58</f>
        <v>3.5383719864344644E-5</v>
      </c>
      <c r="S58" s="132">
        <f>Q58/F58</f>
        <v>1.3711798867957886E-3</v>
      </c>
      <c r="T58">
        <f>Rx!AX33</f>
        <v>0.19316469600951183</v>
      </c>
      <c r="U58">
        <f>T58/I58</f>
        <v>8.3077909240800024E-3</v>
      </c>
      <c r="V58" s="132">
        <f>T58/F58</f>
        <v>0.32194116001585305</v>
      </c>
      <c r="W58" s="271"/>
      <c r="X58" s="271"/>
      <c r="Y58" s="384"/>
      <c r="Z58">
        <f t="shared" si="3"/>
        <v>3.5444444444444452</v>
      </c>
    </row>
    <row r="59" spans="2:28" x14ac:dyDescent="0.25">
      <c r="B59" s="628"/>
      <c r="C59" s="657"/>
      <c r="D59" s="197" t="s">
        <v>120</v>
      </c>
      <c r="E59" s="199">
        <f>Weights!I92</f>
        <v>2.2633333333333332</v>
      </c>
      <c r="F59" s="124">
        <f>Weights!M92</f>
        <v>0.59499999999999997</v>
      </c>
      <c r="G59" s="204">
        <f t="shared" si="0"/>
        <v>73.711340206185568</v>
      </c>
      <c r="H59" s="273"/>
      <c r="I59">
        <f>Picogreen!AJ71</f>
        <v>30.712789999999995</v>
      </c>
      <c r="J59" s="132">
        <f t="shared" si="23"/>
        <v>51.618134453781508</v>
      </c>
      <c r="K59">
        <f>DMMB!AJ79</f>
        <v>189.62829999999997</v>
      </c>
      <c r="L59">
        <f t="shared" si="28"/>
        <v>6174.2453225512891</v>
      </c>
      <c r="M59">
        <f t="shared" si="29"/>
        <v>318.70302521008398</v>
      </c>
      <c r="N59" s="79">
        <f>OHP!CI60</f>
        <v>108.66262753132669</v>
      </c>
      <c r="O59">
        <f t="shared" si="26"/>
        <v>3538.0252829953488</v>
      </c>
      <c r="P59" s="132">
        <f t="shared" si="27"/>
        <v>182.62626475853227</v>
      </c>
      <c r="Q59">
        <f>Rx!AI34</f>
        <v>1.3812435923869501E-3</v>
      </c>
      <c r="R59">
        <f>Q59/I59</f>
        <v>4.4972911688809464E-5</v>
      </c>
      <c r="S59" s="132">
        <f>Q59/F59</f>
        <v>2.3214178023310086E-3</v>
      </c>
      <c r="T59">
        <f>Rx!AX34</f>
        <v>0.33803821801664574</v>
      </c>
      <c r="U59">
        <f>T59/I59</f>
        <v>1.1006431457925047E-2</v>
      </c>
      <c r="V59" s="132">
        <f>T59/F59</f>
        <v>0.56813145885150551</v>
      </c>
      <c r="W59" s="271"/>
      <c r="X59" s="271"/>
      <c r="Y59" s="384"/>
      <c r="Z59">
        <f t="shared" si="3"/>
        <v>3.8039215686274508</v>
      </c>
    </row>
    <row r="60" spans="2:28" x14ac:dyDescent="0.25">
      <c r="B60" s="628"/>
      <c r="C60" s="657"/>
      <c r="D60" s="197" t="s">
        <v>121</v>
      </c>
      <c r="E60" s="199">
        <f>Weights!I93</f>
        <v>2.1666666666666665</v>
      </c>
      <c r="F60" s="124">
        <f>Weights!M93</f>
        <v>0.55499999999999994</v>
      </c>
      <c r="G60" s="204">
        <f t="shared" si="0"/>
        <v>74.384615384615387</v>
      </c>
      <c r="H60" s="273"/>
      <c r="I60">
        <f>Picogreen!AJ72</f>
        <v>30.712789999999995</v>
      </c>
      <c r="J60" s="132">
        <f t="shared" si="23"/>
        <v>55.338360360360355</v>
      </c>
      <c r="K60">
        <f>DMMB!AJ80</f>
        <v>326.14899999999977</v>
      </c>
      <c r="L60">
        <f t="shared" si="28"/>
        <v>10619.321787437735</v>
      </c>
      <c r="M60">
        <f t="shared" si="29"/>
        <v>587.65585585585552</v>
      </c>
      <c r="N60" s="79">
        <f>OHP!CI61</f>
        <v>110.32340181757668</v>
      </c>
      <c r="O60">
        <f t="shared" si="26"/>
        <v>3592.0996372383202</v>
      </c>
      <c r="P60" s="132">
        <f t="shared" si="27"/>
        <v>198.78090417581387</v>
      </c>
      <c r="Q60">
        <f>Rx!AI35</f>
        <v>6.9816957538684646E-3</v>
      </c>
      <c r="R60">
        <f>Q60/I60</f>
        <v>2.2732209460190578E-4</v>
      </c>
      <c r="S60" s="132">
        <f>Q60/F60</f>
        <v>1.257963198895219E-2</v>
      </c>
      <c r="T60">
        <f>Rx!AX35</f>
        <v>4.0564586161997491</v>
      </c>
      <c r="U60">
        <f>T60/I60</f>
        <v>0.13207717749510056</v>
      </c>
      <c r="V60" s="132">
        <f>T60/F60</f>
        <v>7.3089344436031523</v>
      </c>
      <c r="W60" s="271"/>
      <c r="X60" s="271"/>
      <c r="Y60" s="384"/>
      <c r="Z60">
        <f t="shared" si="3"/>
        <v>3.9039039039039043</v>
      </c>
    </row>
    <row r="61" spans="2:28" x14ac:dyDescent="0.25">
      <c r="B61" s="628"/>
      <c r="C61" s="657"/>
      <c r="D61" s="197" t="s">
        <v>122</v>
      </c>
      <c r="E61" s="199">
        <f>Weights!I94</f>
        <v>2.5266666666666668</v>
      </c>
      <c r="F61" s="124">
        <f>Weights!M94</f>
        <v>0.48</v>
      </c>
      <c r="G61" s="204">
        <f t="shared" si="0"/>
        <v>81.002638522427446</v>
      </c>
      <c r="H61" s="273"/>
      <c r="I61">
        <f>Picogreen!AJ73</f>
        <v>34.443669999999997</v>
      </c>
      <c r="J61" s="132">
        <f t="shared" si="23"/>
        <v>71.757645833333328</v>
      </c>
      <c r="K61">
        <f>DMMB!AJ81</f>
        <v>290.22250000000014</v>
      </c>
      <c r="L61">
        <f t="shared" si="28"/>
        <v>8426.003965314967</v>
      </c>
      <c r="M61">
        <f t="shared" si="29"/>
        <v>604.6302083333336</v>
      </c>
      <c r="N61" s="79">
        <f>OHP!CI53</f>
        <v>95.54251066995171</v>
      </c>
      <c r="O61">
        <f t="shared" si="26"/>
        <v>2773.8771933987205</v>
      </c>
      <c r="P61" s="132">
        <f t="shared" si="27"/>
        <v>199.04689722906608</v>
      </c>
      <c r="Q61" s="271"/>
      <c r="R61" s="271"/>
      <c r="S61" s="272"/>
      <c r="T61" s="271"/>
      <c r="U61" s="271"/>
      <c r="V61" s="272"/>
      <c r="W61">
        <f>Rx!BM39</f>
        <v>3.3644343020490665E-2</v>
      </c>
      <c r="X61">
        <f>W61/I61</f>
        <v>9.7679321107450715E-4</v>
      </c>
      <c r="Y61" s="4">
        <f>W61/F61</f>
        <v>7.0092381292688882E-2</v>
      </c>
      <c r="Z61">
        <f t="shared" si="3"/>
        <v>5.2638888888888893</v>
      </c>
    </row>
    <row r="62" spans="2:28" x14ac:dyDescent="0.25">
      <c r="B62" s="628"/>
      <c r="C62" s="657"/>
      <c r="D62" s="197" t="s">
        <v>124</v>
      </c>
      <c r="E62" s="199">
        <f>Weights!I95</f>
        <v>1.7033333333333334</v>
      </c>
      <c r="F62" s="124">
        <f>Weights!M95</f>
        <v>0.49</v>
      </c>
      <c r="G62" s="204">
        <f t="shared" si="0"/>
        <v>71.232876712328761</v>
      </c>
      <c r="H62" s="273"/>
      <c r="I62">
        <f>Picogreen!AJ74</f>
        <v>31.17915</v>
      </c>
      <c r="J62" s="132">
        <f t="shared" si="23"/>
        <v>63.630918367346936</v>
      </c>
      <c r="K62">
        <f>DMMB!AJ82</f>
        <v>196.81360000000026</v>
      </c>
      <c r="L62">
        <f t="shared" si="28"/>
        <v>6312.3465521029366</v>
      </c>
      <c r="M62">
        <f t="shared" si="29"/>
        <v>401.66040816326586</v>
      </c>
      <c r="N62" s="79">
        <f>OHP!CI54</f>
        <v>82.67150995151421</v>
      </c>
      <c r="O62">
        <f t="shared" si="26"/>
        <v>2651.4997987922766</v>
      </c>
      <c r="P62" s="132">
        <f t="shared" si="27"/>
        <v>168.71736724798819</v>
      </c>
      <c r="Q62" s="271"/>
      <c r="R62" s="347"/>
      <c r="S62" s="273"/>
      <c r="T62" s="347"/>
      <c r="U62" s="347"/>
      <c r="V62" s="273"/>
      <c r="W62" s="124">
        <f>Rx!BM40</f>
        <v>2.4216532613649876E-2</v>
      </c>
      <c r="X62">
        <f>W62/I62</f>
        <v>7.7668995510300559E-4</v>
      </c>
      <c r="Y62" s="386">
        <f>W62/F62</f>
        <v>4.9421495129897706E-2</v>
      </c>
      <c r="Z62">
        <f t="shared" si="3"/>
        <v>3.4761904761904763</v>
      </c>
    </row>
    <row r="63" spans="2:28" x14ac:dyDescent="0.25">
      <c r="B63" s="628"/>
      <c r="C63" s="657"/>
      <c r="D63" s="197" t="s">
        <v>125</v>
      </c>
      <c r="E63" s="199">
        <f>Weights!I96</f>
        <v>1.8050000000000002</v>
      </c>
      <c r="F63" s="124">
        <f>Weights!M96</f>
        <v>0.5</v>
      </c>
      <c r="G63" s="204">
        <f t="shared" si="0"/>
        <v>72.29916897506925</v>
      </c>
      <c r="H63" s="273"/>
      <c r="I63">
        <f>Picogreen!AJ75</f>
        <v>30.712789999999995</v>
      </c>
      <c r="J63" s="132">
        <f t="shared" si="23"/>
        <v>61.425579999999989</v>
      </c>
      <c r="K63">
        <f>DMMB!AJ83</f>
        <v>203.99889999999999</v>
      </c>
      <c r="L63">
        <f t="shared" si="28"/>
        <v>6642.1481083288108</v>
      </c>
      <c r="M63">
        <f t="shared" si="29"/>
        <v>407.99779999999998</v>
      </c>
      <c r="N63" s="79">
        <f>OHP!CI55</f>
        <v>99.057816242514178</v>
      </c>
      <c r="O63">
        <f t="shared" si="26"/>
        <v>3225.295267623495</v>
      </c>
      <c r="P63" s="132">
        <f t="shared" si="27"/>
        <v>198.11563248502836</v>
      </c>
      <c r="Q63" s="271"/>
      <c r="R63" s="271"/>
      <c r="S63" s="272"/>
      <c r="T63" s="271"/>
      <c r="U63" s="271"/>
      <c r="V63" s="272"/>
      <c r="W63">
        <f>Rx!BM41</f>
        <v>2.0272873358500785E-2</v>
      </c>
      <c r="X63">
        <f>W63/I63</f>
        <v>6.600791839002835E-4</v>
      </c>
      <c r="Y63" s="4">
        <f>W63/F63</f>
        <v>4.054574671700157E-2</v>
      </c>
      <c r="Z63">
        <f t="shared" si="3"/>
        <v>3.6100000000000003</v>
      </c>
    </row>
    <row r="64" spans="2:28" x14ac:dyDescent="0.25">
      <c r="B64" s="628"/>
      <c r="C64" s="658"/>
      <c r="D64" s="249" t="s">
        <v>126</v>
      </c>
      <c r="E64" s="250">
        <f>Weights!I97</f>
        <v>4.12</v>
      </c>
      <c r="F64" s="77">
        <f>Weights!M97</f>
        <v>0.71</v>
      </c>
      <c r="G64" s="247">
        <f t="shared" si="0"/>
        <v>82.766990291262147</v>
      </c>
      <c r="H64" s="286"/>
      <c r="I64" s="162">
        <f>Picogreen!AJ76</f>
        <v>19.053789999999999</v>
      </c>
      <c r="J64" s="134">
        <f t="shared" si="23"/>
        <v>26.836323943661974</v>
      </c>
      <c r="K64" s="162">
        <f>DMMB!AJ84</f>
        <v>256.69110000000018</v>
      </c>
      <c r="L64" s="162">
        <f t="shared" si="28"/>
        <v>13471.918185305925</v>
      </c>
      <c r="M64" s="162">
        <f t="shared" si="29"/>
        <v>361.53676056338054</v>
      </c>
      <c r="N64" s="138">
        <f>OHP!CI56</f>
        <v>156.29916997526419</v>
      </c>
      <c r="O64" s="162">
        <f t="shared" si="26"/>
        <v>8203.0488409531226</v>
      </c>
      <c r="P64" s="134">
        <f t="shared" si="27"/>
        <v>220.13967602149887</v>
      </c>
      <c r="Q64" s="281"/>
      <c r="R64" s="281"/>
      <c r="S64" s="282"/>
      <c r="T64" s="281"/>
      <c r="U64" s="281"/>
      <c r="V64" s="282"/>
      <c r="W64" s="395">
        <f>Rx!BM42</f>
        <v>1.5959496048181473E-2</v>
      </c>
      <c r="X64" s="162">
        <f>W64/I64</f>
        <v>8.3760218036314424E-4</v>
      </c>
      <c r="Y64" s="165">
        <f>W64/F64</f>
        <v>2.2478163448142921E-2</v>
      </c>
      <c r="Z64">
        <f t="shared" si="3"/>
        <v>5.802816901408451</v>
      </c>
    </row>
    <row r="65" spans="2:28" x14ac:dyDescent="0.25">
      <c r="B65" s="628"/>
      <c r="C65" s="680" t="s">
        <v>210</v>
      </c>
      <c r="D65" s="197" t="s">
        <v>117</v>
      </c>
      <c r="E65" s="199">
        <f>Weights!I110</f>
        <v>1.78</v>
      </c>
      <c r="F65" s="124">
        <f>Weights!M110</f>
        <v>0.57499999999999996</v>
      </c>
      <c r="G65" s="204">
        <f t="shared" si="0"/>
        <v>67.696629213483149</v>
      </c>
      <c r="H65" s="273"/>
      <c r="I65">
        <f>Picogreen!AY58</f>
        <v>15.382981153846151</v>
      </c>
      <c r="J65" s="132">
        <f t="shared" si="23"/>
        <v>26.753010702341133</v>
      </c>
      <c r="K65">
        <f>DMMB!AY66</f>
        <v>205.21780000000021</v>
      </c>
      <c r="L65">
        <f>K65*1000/I65</f>
        <v>13340.574102484054</v>
      </c>
      <c r="M65">
        <f>K65/F65</f>
        <v>356.90052173913085</v>
      </c>
      <c r="N65" s="79">
        <f>OHP!CY61</f>
        <v>81.255416066079519</v>
      </c>
      <c r="O65">
        <f>(N65*1000)/I65</f>
        <v>5282.1631420749363</v>
      </c>
      <c r="P65" s="132">
        <f>N65/F65</f>
        <v>141.31376707144264</v>
      </c>
      <c r="Q65">
        <f>Rx!CA13</f>
        <v>2.06653263604481E-3</v>
      </c>
      <c r="R65">
        <f>Q65/I65</f>
        <v>1.3433889149166138E-4</v>
      </c>
      <c r="S65" s="132">
        <f>Q65/F65</f>
        <v>3.5939698018170609E-3</v>
      </c>
      <c r="T65">
        <f>Rx!CE13</f>
        <v>0.16946133477910702</v>
      </c>
      <c r="U65">
        <f>T65/I65</f>
        <v>1.1016156951914175E-2</v>
      </c>
      <c r="V65" s="132">
        <f>T65/F65</f>
        <v>0.29471536483322963</v>
      </c>
      <c r="W65" s="397"/>
      <c r="X65" s="398"/>
      <c r="Y65" s="399"/>
      <c r="Z65">
        <f t="shared" si="3"/>
        <v>3.0956521739130438</v>
      </c>
      <c r="AA65" s="124"/>
      <c r="AB65" s="124"/>
    </row>
    <row r="66" spans="2:28" x14ac:dyDescent="0.25">
      <c r="B66" s="628"/>
      <c r="C66" s="657"/>
      <c r="D66" s="198" t="s">
        <v>118</v>
      </c>
      <c r="E66" s="419"/>
      <c r="F66" s="423"/>
      <c r="G66" s="420"/>
      <c r="H66" s="420"/>
      <c r="I66" s="111"/>
      <c r="J66" s="421"/>
      <c r="K66" s="111"/>
      <c r="L66" s="111"/>
      <c r="M66" s="111"/>
      <c r="N66" s="422"/>
      <c r="O66" s="111"/>
      <c r="P66" s="421"/>
      <c r="Q66" s="111"/>
      <c r="R66" s="111"/>
      <c r="S66" s="421"/>
      <c r="T66" s="111"/>
      <c r="U66" s="111"/>
      <c r="V66" s="421"/>
      <c r="W66" s="423"/>
      <c r="X66" s="111"/>
      <c r="Y66" s="112"/>
    </row>
    <row r="67" spans="2:28" x14ac:dyDescent="0.25">
      <c r="B67" s="628"/>
      <c r="C67" s="657"/>
      <c r="D67" s="198" t="s">
        <v>119</v>
      </c>
      <c r="E67" s="419"/>
      <c r="F67" s="423"/>
      <c r="G67" s="420"/>
      <c r="H67" s="420"/>
      <c r="I67" s="111"/>
      <c r="J67" s="421"/>
      <c r="K67" s="111"/>
      <c r="L67" s="111"/>
      <c r="M67" s="111"/>
      <c r="N67" s="422"/>
      <c r="O67" s="111"/>
      <c r="P67" s="421"/>
      <c r="Q67" s="111"/>
      <c r="R67" s="111"/>
      <c r="S67" s="421"/>
      <c r="T67" s="111"/>
      <c r="U67" s="111"/>
      <c r="V67" s="421"/>
      <c r="W67" s="423"/>
      <c r="X67" s="111"/>
      <c r="Y67" s="112"/>
    </row>
    <row r="68" spans="2:28" x14ac:dyDescent="0.25">
      <c r="B68" s="628"/>
      <c r="C68" s="657"/>
      <c r="D68" s="198" t="s">
        <v>120</v>
      </c>
      <c r="E68" s="419"/>
      <c r="F68" s="423"/>
      <c r="G68" s="420"/>
      <c r="H68" s="420"/>
      <c r="I68" s="111"/>
      <c r="J68" s="421"/>
      <c r="K68" s="111"/>
      <c r="L68" s="111"/>
      <c r="M68" s="111"/>
      <c r="N68" s="422"/>
      <c r="O68" s="111"/>
      <c r="P68" s="421"/>
      <c r="Q68" s="111"/>
      <c r="R68" s="111"/>
      <c r="S68" s="421"/>
      <c r="T68" s="111"/>
      <c r="U68" s="111"/>
      <c r="V68" s="421"/>
      <c r="W68" s="423"/>
      <c r="X68" s="111"/>
      <c r="Y68" s="112"/>
    </row>
    <row r="69" spans="2:28" ht="15.75" thickBot="1" x14ac:dyDescent="0.3">
      <c r="B69" s="628"/>
      <c r="C69" s="657"/>
      <c r="D69" s="198" t="s">
        <v>121</v>
      </c>
      <c r="E69" s="419"/>
      <c r="F69" s="423"/>
      <c r="G69" s="420"/>
      <c r="H69" s="420"/>
      <c r="I69" s="111"/>
      <c r="J69" s="421"/>
      <c r="K69" s="111"/>
      <c r="L69" s="111"/>
      <c r="M69" s="111"/>
      <c r="N69" s="422"/>
      <c r="O69" s="111"/>
      <c r="P69" s="421"/>
      <c r="Q69" s="111"/>
      <c r="R69" s="111"/>
      <c r="S69" s="421"/>
      <c r="T69" s="111"/>
      <c r="U69" s="111"/>
      <c r="V69" s="421"/>
      <c r="W69" s="423"/>
      <c r="X69" s="111"/>
      <c r="Y69" s="112"/>
    </row>
    <row r="70" spans="2:28" x14ac:dyDescent="0.25">
      <c r="B70" s="627" t="s">
        <v>95</v>
      </c>
      <c r="C70" s="635" t="s">
        <v>34</v>
      </c>
      <c r="D70" s="196" t="s">
        <v>46</v>
      </c>
      <c r="E70" s="201">
        <f>Weights!I20</f>
        <v>2.3766666666666665</v>
      </c>
      <c r="F70" s="212">
        <f>Weights!M20</f>
        <v>0.57000000000000006</v>
      </c>
      <c r="G70" s="205">
        <f t="shared" si="0"/>
        <v>76.016830294530152</v>
      </c>
      <c r="H70" s="205">
        <f>'Alamar Blue - Analysis'!L4</f>
        <v>1.1408450704225352</v>
      </c>
      <c r="I70" s="8">
        <f>Picogreen!F55</f>
        <v>62.484563333333327</v>
      </c>
      <c r="J70" s="202">
        <f t="shared" ref="J70:J115" si="30">I70/F70</f>
        <v>109.62204093567249</v>
      </c>
      <c r="K70" s="8">
        <f>DMMB!F63</f>
        <v>223.7944999999998</v>
      </c>
      <c r="L70" s="8">
        <f t="shared" ref="L70:L96" si="31">K70*1000/I70</f>
        <v>3581.5966066072078</v>
      </c>
      <c r="M70" s="8">
        <f t="shared" ref="M70:M96" si="32">K70/F70</f>
        <v>392.62192982456099</v>
      </c>
      <c r="N70" s="251">
        <f>OHP!G55</f>
        <v>100.53740570013584</v>
      </c>
      <c r="O70" s="8">
        <f t="shared" ref="O70:O106" si="33">(N70*1000)/I70</f>
        <v>1608.9958917341532</v>
      </c>
      <c r="P70" s="202">
        <f t="shared" ref="P70:P106" si="34">N70/F70</f>
        <v>176.38141350901023</v>
      </c>
      <c r="Q70" s="279"/>
      <c r="R70" s="279"/>
      <c r="S70" s="280"/>
      <c r="T70" s="279"/>
      <c r="U70" s="279"/>
      <c r="V70" s="280"/>
      <c r="W70" s="279"/>
      <c r="X70" s="279"/>
      <c r="Y70" s="400"/>
      <c r="Z70">
        <f t="shared" si="3"/>
        <v>4.1695906432748533</v>
      </c>
    </row>
    <row r="71" spans="2:28" x14ac:dyDescent="0.25">
      <c r="B71" s="628"/>
      <c r="C71" s="657"/>
      <c r="D71" s="197" t="s">
        <v>44</v>
      </c>
      <c r="E71" s="199">
        <f>Weights!I21</f>
        <v>1.8933333333333333</v>
      </c>
      <c r="F71" s="124">
        <f>Weights!M21</f>
        <v>0.56000000000000005</v>
      </c>
      <c r="G71" s="204">
        <f t="shared" si="0"/>
        <v>70.422535211267601</v>
      </c>
      <c r="H71" s="204">
        <f>'Alamar Blue - Analysis'!L5</f>
        <v>1.112676056338028</v>
      </c>
      <c r="I71">
        <f>Picogreen!F56</f>
        <v>71.265763333333325</v>
      </c>
      <c r="J71" s="132">
        <f t="shared" si="30"/>
        <v>127.26029166666665</v>
      </c>
      <c r="K71">
        <f>DMMB!F64</f>
        <v>199.72949999999983</v>
      </c>
      <c r="L71">
        <f t="shared" si="31"/>
        <v>2802.6010058406237</v>
      </c>
      <c r="M71">
        <f t="shared" si="32"/>
        <v>356.65982142857109</v>
      </c>
      <c r="N71" s="79">
        <f>OHP!G56</f>
        <v>97.072754265635851</v>
      </c>
      <c r="O71">
        <f t="shared" si="33"/>
        <v>1362.1232654394619</v>
      </c>
      <c r="P71" s="132">
        <f t="shared" si="34"/>
        <v>173.3442040457783</v>
      </c>
      <c r="Q71" s="271"/>
      <c r="R71" s="271"/>
      <c r="S71" s="272"/>
      <c r="T71" s="271"/>
      <c r="U71" s="271"/>
      <c r="V71" s="272"/>
      <c r="W71" s="271"/>
      <c r="X71" s="271"/>
      <c r="Y71" s="384"/>
      <c r="Z71">
        <f t="shared" si="3"/>
        <v>3.3809523809523805</v>
      </c>
    </row>
    <row r="72" spans="2:28" x14ac:dyDescent="0.25">
      <c r="B72" s="628"/>
      <c r="C72" s="657"/>
      <c r="D72" s="197" t="s">
        <v>45</v>
      </c>
      <c r="E72" s="199">
        <f>Weights!I22</f>
        <v>1.6966666666666665</v>
      </c>
      <c r="F72" s="124">
        <f>Weights!M22</f>
        <v>0.47</v>
      </c>
      <c r="G72" s="204">
        <f t="shared" si="0"/>
        <v>72.29862475442043</v>
      </c>
      <c r="H72" s="204">
        <f>'Alamar Blue - Analysis'!L6</f>
        <v>1.112676056338028</v>
      </c>
      <c r="I72">
        <f>Picogreen!F57</f>
        <v>76.754013333333319</v>
      </c>
      <c r="J72" s="132">
        <f t="shared" si="30"/>
        <v>163.3064113475177</v>
      </c>
      <c r="K72">
        <f>DMMB!F65</f>
        <v>211.76200000000009</v>
      </c>
      <c r="L72">
        <f t="shared" si="31"/>
        <v>2758.9697372610804</v>
      </c>
      <c r="M72">
        <f t="shared" si="32"/>
        <v>450.55744680851086</v>
      </c>
      <c r="N72" s="79">
        <f>OHP!G57</f>
        <v>77.653941790010862</v>
      </c>
      <c r="O72">
        <f t="shared" si="33"/>
        <v>1011.7248391008463</v>
      </c>
      <c r="P72" s="132">
        <f t="shared" si="34"/>
        <v>165.22115274470397</v>
      </c>
      <c r="Q72" s="271"/>
      <c r="R72" s="271"/>
      <c r="S72" s="272"/>
      <c r="T72" s="271"/>
      <c r="U72" s="271"/>
      <c r="V72" s="272"/>
      <c r="W72" s="271"/>
      <c r="X72" s="271"/>
      <c r="Y72" s="384"/>
      <c r="Z72">
        <f t="shared" si="3"/>
        <v>3.6099290780141842</v>
      </c>
    </row>
    <row r="73" spans="2:28" x14ac:dyDescent="0.25">
      <c r="B73" s="628"/>
      <c r="C73" s="657"/>
      <c r="D73" s="197" t="s">
        <v>47</v>
      </c>
      <c r="E73" s="199">
        <f>Weights!I23</f>
        <v>1.8733333333333333</v>
      </c>
      <c r="F73" s="124">
        <f>Weights!M23</f>
        <v>0.53</v>
      </c>
      <c r="G73" s="204">
        <f t="shared" si="0"/>
        <v>71.708185053380788</v>
      </c>
      <c r="H73" s="204">
        <f>'Alamar Blue - Analysis'!L7</f>
        <v>1.112676056338028</v>
      </c>
      <c r="I73">
        <f>Picogreen!F58</f>
        <v>105.29291333333333</v>
      </c>
      <c r="J73" s="132">
        <f t="shared" si="30"/>
        <v>198.66587421383647</v>
      </c>
      <c r="K73">
        <f>DMMB!F66</f>
        <v>271.92449999999997</v>
      </c>
      <c r="L73">
        <f t="shared" si="31"/>
        <v>2582.5527226048825</v>
      </c>
      <c r="M73">
        <f t="shared" si="32"/>
        <v>513.06509433962253</v>
      </c>
      <c r="N73" s="79">
        <f>OHP!G58</f>
        <v>105.90202727613585</v>
      </c>
      <c r="O73">
        <f t="shared" si="33"/>
        <v>1005.7849471870362</v>
      </c>
      <c r="P73" s="132">
        <f t="shared" si="34"/>
        <v>199.8151458040299</v>
      </c>
      <c r="Q73" s="271"/>
      <c r="R73" s="271"/>
      <c r="S73" s="272"/>
      <c r="T73" s="271"/>
      <c r="U73" s="271"/>
      <c r="V73" s="272"/>
      <c r="W73" s="271"/>
      <c r="X73" s="271"/>
      <c r="Y73" s="384"/>
      <c r="Z73">
        <f t="shared" si="3"/>
        <v>3.5345911949685531</v>
      </c>
    </row>
    <row r="74" spans="2:28" x14ac:dyDescent="0.25">
      <c r="B74" s="628"/>
      <c r="C74" s="657"/>
      <c r="D74" s="197" t="s">
        <v>48</v>
      </c>
      <c r="E74" s="199">
        <f>Weights!I24</f>
        <v>2.0166666666666666</v>
      </c>
      <c r="F74" s="124">
        <f>Weights!M24</f>
        <v>0.54</v>
      </c>
      <c r="G74" s="204">
        <f t="shared" si="0"/>
        <v>73.223140495867767</v>
      </c>
      <c r="H74" s="204">
        <f>'Alamar Blue - Analysis'!L8</f>
        <v>1.056338028169014</v>
      </c>
      <c r="I74">
        <f>Picogreen!F59</f>
        <v>77.851663333333335</v>
      </c>
      <c r="J74" s="132">
        <f t="shared" si="30"/>
        <v>144.16974691358024</v>
      </c>
      <c r="K74">
        <f>DMMB!F67</f>
        <v>211.76199999999966</v>
      </c>
      <c r="L74">
        <f t="shared" si="31"/>
        <v>2720.0703354700277</v>
      </c>
      <c r="M74">
        <f t="shared" si="32"/>
        <v>392.15185185185118</v>
      </c>
      <c r="N74" s="79">
        <f>OHP!G59</f>
        <v>102.29767215476086</v>
      </c>
      <c r="O74">
        <f t="shared" si="33"/>
        <v>1314.0075340042299</v>
      </c>
      <c r="P74" s="132">
        <f t="shared" si="34"/>
        <v>189.44013361992751</v>
      </c>
      <c r="Q74" s="271"/>
      <c r="R74" s="271"/>
      <c r="S74" s="272"/>
      <c r="T74" s="271"/>
      <c r="U74" s="271"/>
      <c r="V74" s="272"/>
      <c r="W74" s="271"/>
      <c r="X74" s="271"/>
      <c r="Y74" s="384"/>
      <c r="Z74">
        <f t="shared" si="3"/>
        <v>3.7345679012345676</v>
      </c>
    </row>
    <row r="75" spans="2:28" ht="15.75" thickBot="1" x14ac:dyDescent="0.3">
      <c r="B75" s="629"/>
      <c r="C75" s="636"/>
      <c r="D75" s="78" t="s">
        <v>49</v>
      </c>
      <c r="E75" s="200">
        <f>Weights!I25</f>
        <v>1.89</v>
      </c>
      <c r="F75" s="209">
        <f>Weights!M25</f>
        <v>0.52500000000000002</v>
      </c>
      <c r="G75" s="206">
        <f t="shared" si="0"/>
        <v>72.222222222222229</v>
      </c>
      <c r="H75" s="206">
        <f>'Alamar Blue - Analysis'!L9</f>
        <v>0.75352112676056326</v>
      </c>
      <c r="I75" s="6">
        <f>Picogreen!F60</f>
        <v>70.168113333333324</v>
      </c>
      <c r="J75" s="203">
        <f t="shared" si="30"/>
        <v>133.65354920634917</v>
      </c>
      <c r="K75" s="6">
        <f>DMMB!F68</f>
        <v>267.11149999999986</v>
      </c>
      <c r="L75" s="6">
        <f t="shared" si="31"/>
        <v>3806.7362411625327</v>
      </c>
      <c r="M75" s="6">
        <f t="shared" si="32"/>
        <v>508.78380952380923</v>
      </c>
      <c r="N75" s="82">
        <f>OHP!G60</f>
        <v>93.636043568510843</v>
      </c>
      <c r="O75" s="6">
        <f t="shared" si="33"/>
        <v>1334.4529177190957</v>
      </c>
      <c r="P75" s="203">
        <f t="shared" si="34"/>
        <v>178.35436870192541</v>
      </c>
      <c r="Q75" s="276"/>
      <c r="R75" s="276"/>
      <c r="S75" s="278"/>
      <c r="T75" s="276"/>
      <c r="U75" s="276"/>
      <c r="V75" s="278"/>
      <c r="W75" s="276"/>
      <c r="X75" s="276"/>
      <c r="Y75" s="425"/>
      <c r="Z75">
        <f t="shared" si="3"/>
        <v>3.5999999999999996</v>
      </c>
    </row>
    <row r="76" spans="2:28" x14ac:dyDescent="0.25">
      <c r="B76" s="628" t="s">
        <v>96</v>
      </c>
      <c r="C76" s="635" t="s">
        <v>35</v>
      </c>
      <c r="D76" s="196" t="s">
        <v>46</v>
      </c>
      <c r="E76" s="201">
        <f>Weights!I26</f>
        <v>1.8933333333333333</v>
      </c>
      <c r="F76" s="212">
        <f>Weights!M26</f>
        <v>0.52</v>
      </c>
      <c r="G76" s="205">
        <f t="shared" ref="G76:G130" si="35">100-(F76/E76*100)</f>
        <v>72.535211267605632</v>
      </c>
      <c r="H76" s="205">
        <f>'Alamar Blue - Analysis'!L12</f>
        <v>1.4592592592592593</v>
      </c>
      <c r="I76" s="8">
        <f>Picogreen!F61</f>
        <v>74.558713333333316</v>
      </c>
      <c r="J76" s="202">
        <f t="shared" si="30"/>
        <v>143.38214102564098</v>
      </c>
      <c r="K76" s="8">
        <f>DMMB!F69</f>
        <v>218.98149999999987</v>
      </c>
      <c r="L76" s="8">
        <f t="shared" si="31"/>
        <v>2937.0343211394825</v>
      </c>
      <c r="M76" s="8">
        <f t="shared" si="32"/>
        <v>421.11826923076899</v>
      </c>
      <c r="N76" s="251">
        <f>OHP!W46</f>
        <v>120.26474556274036</v>
      </c>
      <c r="O76" s="8">
        <f t="shared" si="33"/>
        <v>1613.020667685973</v>
      </c>
      <c r="P76" s="202">
        <f t="shared" si="34"/>
        <v>231.27835685142375</v>
      </c>
      <c r="Q76" s="279"/>
      <c r="R76" s="283"/>
      <c r="S76" s="284"/>
      <c r="T76" s="283"/>
      <c r="U76" s="283"/>
      <c r="V76" s="284"/>
      <c r="W76" s="283"/>
      <c r="X76" s="283"/>
      <c r="Y76" s="383"/>
      <c r="Z76">
        <f t="shared" ref="Z76:Z130" si="36">E76/F76</f>
        <v>3.641025641025641</v>
      </c>
    </row>
    <row r="77" spans="2:28" x14ac:dyDescent="0.25">
      <c r="B77" s="628"/>
      <c r="C77" s="657"/>
      <c r="D77" s="197" t="s">
        <v>44</v>
      </c>
      <c r="E77" s="199">
        <f>Weights!I27</f>
        <v>1.6733333333333331</v>
      </c>
      <c r="F77" s="124">
        <f>Weights!M27</f>
        <v>0.47499999999999998</v>
      </c>
      <c r="G77" s="204">
        <f t="shared" si="35"/>
        <v>71.613545816733065</v>
      </c>
      <c r="H77" s="204">
        <f>'Alamar Blue - Analysis'!L13</f>
        <v>1.3555555555555556</v>
      </c>
      <c r="I77">
        <f>Picogreen!F62</f>
        <v>64.67986333333333</v>
      </c>
      <c r="J77" s="132">
        <f t="shared" si="30"/>
        <v>136.16813333333334</v>
      </c>
      <c r="K77">
        <f>DMMB!F70</f>
        <v>202.13600000000014</v>
      </c>
      <c r="L77">
        <f t="shared" si="31"/>
        <v>3125.17667142051</v>
      </c>
      <c r="M77">
        <f t="shared" si="32"/>
        <v>425.54947368421085</v>
      </c>
      <c r="N77" s="79">
        <f>OHP!W47</f>
        <v>105.2681956377404</v>
      </c>
      <c r="O77">
        <f t="shared" si="33"/>
        <v>1627.5265625598427</v>
      </c>
      <c r="P77" s="132">
        <f t="shared" si="34"/>
        <v>221.61725397419033</v>
      </c>
      <c r="Q77" s="271"/>
      <c r="R77" s="271"/>
      <c r="S77" s="272"/>
      <c r="T77" s="271"/>
      <c r="U77" s="271"/>
      <c r="V77" s="272"/>
      <c r="W77" s="271"/>
      <c r="X77" s="271"/>
      <c r="Y77" s="384"/>
      <c r="Z77">
        <f t="shared" si="36"/>
        <v>3.5228070175438595</v>
      </c>
    </row>
    <row r="78" spans="2:28" x14ac:dyDescent="0.25">
      <c r="B78" s="628"/>
      <c r="C78" s="657"/>
      <c r="D78" s="197" t="s">
        <v>45</v>
      </c>
      <c r="E78" s="199">
        <f>Weights!I28</f>
        <v>2.0833333333333335</v>
      </c>
      <c r="F78" s="124">
        <f>Weights!M28</f>
        <v>0.55000000000000004</v>
      </c>
      <c r="G78" s="204">
        <f t="shared" si="35"/>
        <v>73.599999999999994</v>
      </c>
      <c r="H78" s="204">
        <f>'Alamar Blue - Analysis'!L14</f>
        <v>1.3037037037037036</v>
      </c>
      <c r="I78">
        <f>Picogreen!F63</f>
        <v>63.582213333333321</v>
      </c>
      <c r="J78" s="132">
        <f t="shared" si="30"/>
        <v>115.60402424242422</v>
      </c>
      <c r="K78">
        <f>DMMB!F71</f>
        <v>204.54249999999988</v>
      </c>
      <c r="L78">
        <f t="shared" si="31"/>
        <v>3216.9767184365596</v>
      </c>
      <c r="M78">
        <f t="shared" si="32"/>
        <v>371.8954545454543</v>
      </c>
      <c r="N78" s="79">
        <f>OHP!W48</f>
        <v>113.43492146899038</v>
      </c>
      <c r="O78">
        <f t="shared" si="33"/>
        <v>1784.0668879251093</v>
      </c>
      <c r="P78" s="132">
        <f t="shared" si="34"/>
        <v>206.24531176180068</v>
      </c>
      <c r="Q78" s="271"/>
      <c r="R78" s="271"/>
      <c r="S78" s="272"/>
      <c r="T78" s="271"/>
      <c r="U78" s="271"/>
      <c r="V78" s="272"/>
      <c r="W78" s="271"/>
      <c r="X78" s="271"/>
      <c r="Y78" s="384"/>
      <c r="Z78">
        <f t="shared" si="36"/>
        <v>3.7878787878787876</v>
      </c>
    </row>
    <row r="79" spans="2:28" x14ac:dyDescent="0.25">
      <c r="B79" s="628"/>
      <c r="C79" s="657"/>
      <c r="D79" s="197" t="s">
        <v>47</v>
      </c>
      <c r="E79" s="199">
        <f>Weights!I29</f>
        <v>2.13</v>
      </c>
      <c r="F79" s="124">
        <f>Weights!M29</f>
        <v>0.52</v>
      </c>
      <c r="G79" s="204">
        <f t="shared" si="35"/>
        <v>75.586854460093889</v>
      </c>
      <c r="H79" s="204">
        <f>'Alamar Blue - Analysis'!L15</f>
        <v>1.2740740740740741</v>
      </c>
      <c r="I79">
        <f>Picogreen!F64</f>
        <v>47.117463333333333</v>
      </c>
      <c r="J79" s="132">
        <f t="shared" si="30"/>
        <v>90.610506410256406</v>
      </c>
      <c r="K79">
        <f>DMMB!F72</f>
        <v>211.76199999999966</v>
      </c>
      <c r="L79">
        <f t="shared" si="31"/>
        <v>4494.342119011917</v>
      </c>
      <c r="M79">
        <f t="shared" si="32"/>
        <v>407.2346153846147</v>
      </c>
      <c r="N79" s="79">
        <f>OHP!W49</f>
        <v>121.68883654399036</v>
      </c>
      <c r="O79">
        <f t="shared" si="33"/>
        <v>2582.6695228285216</v>
      </c>
      <c r="P79" s="132">
        <f t="shared" si="34"/>
        <v>234.01699335382762</v>
      </c>
      <c r="Q79" s="271"/>
      <c r="R79" s="271"/>
      <c r="S79" s="272"/>
      <c r="T79" s="271"/>
      <c r="U79" s="271"/>
      <c r="V79" s="272"/>
      <c r="W79" s="271"/>
      <c r="X79" s="271"/>
      <c r="Y79" s="384"/>
      <c r="Z79">
        <f t="shared" si="36"/>
        <v>4.0961538461538458</v>
      </c>
    </row>
    <row r="80" spans="2:28" x14ac:dyDescent="0.25">
      <c r="B80" s="628"/>
      <c r="C80" s="657"/>
      <c r="D80" s="197" t="s">
        <v>48</v>
      </c>
      <c r="E80" s="199">
        <f>Weights!I30</f>
        <v>3.0700000000000003</v>
      </c>
      <c r="F80" s="124">
        <f>Weights!M30</f>
        <v>0.52</v>
      </c>
      <c r="G80" s="204">
        <f t="shared" si="35"/>
        <v>83.061889250814332</v>
      </c>
      <c r="H80" s="204">
        <f>'Alamar Blue - Analysis'!L16</f>
        <v>1.3481481481481481</v>
      </c>
      <c r="I80">
        <f>Picogreen!F65</f>
        <v>64.67986333333333</v>
      </c>
      <c r="J80" s="132">
        <f t="shared" si="30"/>
        <v>124.38435256410256</v>
      </c>
      <c r="K80">
        <f>DMMB!F73</f>
        <v>240.6399999999995</v>
      </c>
      <c r="L80">
        <f t="shared" si="31"/>
        <v>3720.4778674290055</v>
      </c>
      <c r="M80">
        <f t="shared" si="32"/>
        <v>462.76923076922981</v>
      </c>
      <c r="N80" s="79">
        <f>OHP!W50</f>
        <v>132.03529346899035</v>
      </c>
      <c r="O80">
        <f t="shared" si="33"/>
        <v>2041.3663026548913</v>
      </c>
      <c r="P80" s="132">
        <f t="shared" si="34"/>
        <v>253.91402590190449</v>
      </c>
      <c r="Q80" s="271"/>
      <c r="R80" s="271"/>
      <c r="S80" s="272"/>
      <c r="T80" s="271"/>
      <c r="U80" s="271"/>
      <c r="V80" s="272"/>
      <c r="W80" s="271"/>
      <c r="X80" s="271"/>
      <c r="Y80" s="384"/>
      <c r="Z80">
        <f t="shared" si="36"/>
        <v>5.9038461538461542</v>
      </c>
    </row>
    <row r="81" spans="2:26" x14ac:dyDescent="0.25">
      <c r="B81" s="628"/>
      <c r="C81" s="658"/>
      <c r="D81" s="249" t="s">
        <v>49</v>
      </c>
      <c r="E81" s="250">
        <f>Weights!I31</f>
        <v>2.7033333333333331</v>
      </c>
      <c r="F81" s="77">
        <f>Weights!M31</f>
        <v>0.67</v>
      </c>
      <c r="G81" s="247">
        <f t="shared" si="35"/>
        <v>75.215782983970399</v>
      </c>
      <c r="H81" s="247">
        <f>'Alamar Blue - Analysis'!L17</f>
        <v>1.3185185185185186</v>
      </c>
      <c r="I81" s="162">
        <f>Picogreen!F66</f>
        <v>61.386913333333325</v>
      </c>
      <c r="J81" s="134">
        <f t="shared" si="30"/>
        <v>91.622258706467647</v>
      </c>
      <c r="K81" s="162">
        <f>DMMB!F74</f>
        <v>298.39599999999962</v>
      </c>
      <c r="L81" s="162">
        <f t="shared" si="31"/>
        <v>4860.9057500529098</v>
      </c>
      <c r="M81" s="162">
        <f t="shared" si="32"/>
        <v>445.3671641791039</v>
      </c>
      <c r="N81" s="138">
        <f>OHP!W51</f>
        <v>168.39320811274038</v>
      </c>
      <c r="O81" s="162">
        <f t="shared" si="33"/>
        <v>2743.1450608757395</v>
      </c>
      <c r="P81" s="134">
        <f t="shared" si="34"/>
        <v>251.33314643692592</v>
      </c>
      <c r="Q81" s="281"/>
      <c r="R81" s="285"/>
      <c r="S81" s="286"/>
      <c r="T81" s="285"/>
      <c r="U81" s="285"/>
      <c r="V81" s="286"/>
      <c r="W81" s="285"/>
      <c r="X81" s="285"/>
      <c r="Y81" s="438"/>
      <c r="Z81">
        <f t="shared" si="36"/>
        <v>4.0348258706467659</v>
      </c>
    </row>
    <row r="82" spans="2:26" x14ac:dyDescent="0.25">
      <c r="B82" s="628"/>
      <c r="C82" s="657" t="s">
        <v>127</v>
      </c>
      <c r="D82" s="197" t="s">
        <v>117</v>
      </c>
      <c r="E82" s="199">
        <f>Weights!I48</f>
        <v>2.145</v>
      </c>
      <c r="F82" s="124">
        <f>Weights!M48</f>
        <v>0.51</v>
      </c>
      <c r="G82" s="204">
        <f t="shared" si="35"/>
        <v>76.223776223776227</v>
      </c>
      <c r="H82" s="273"/>
      <c r="I82">
        <f>Picogreen!U62</f>
        <v>64.53143571428572</v>
      </c>
      <c r="J82" s="132">
        <f t="shared" si="30"/>
        <v>126.53222689075631</v>
      </c>
      <c r="K82">
        <f>DMMB!U70</f>
        <v>213.41799999999978</v>
      </c>
      <c r="L82">
        <f t="shared" si="31"/>
        <v>3307.194356327549</v>
      </c>
      <c r="M82">
        <f t="shared" si="32"/>
        <v>418.46666666666624</v>
      </c>
      <c r="N82" s="79">
        <f>OHP!BC46</f>
        <v>105.34932977608929</v>
      </c>
      <c r="O82">
        <f t="shared" si="33"/>
        <v>1632.527288599709</v>
      </c>
      <c r="P82" s="132">
        <f t="shared" si="34"/>
        <v>206.56731328644958</v>
      </c>
      <c r="Q82">
        <f>Rx!G13</f>
        <v>4.2186630044147689E-4</v>
      </c>
      <c r="R82">
        <f>Q82/I82</f>
        <v>6.5373766408870674E-6</v>
      </c>
      <c r="S82" s="132">
        <f>Q82/F82</f>
        <v>8.2718882439505273E-4</v>
      </c>
      <c r="T82">
        <f>Rx!K13</f>
        <v>0.94531128029961964</v>
      </c>
      <c r="U82">
        <f>T82/I82</f>
        <v>1.4648849352817827E-2</v>
      </c>
      <c r="V82" s="132">
        <f>T82/F82</f>
        <v>1.8535515299992542</v>
      </c>
      <c r="W82" s="271"/>
      <c r="X82" s="271"/>
      <c r="Y82" s="384"/>
      <c r="Z82">
        <f t="shared" si="36"/>
        <v>4.2058823529411766</v>
      </c>
    </row>
    <row r="83" spans="2:26" x14ac:dyDescent="0.25">
      <c r="B83" s="628"/>
      <c r="C83" s="657"/>
      <c r="D83" s="197" t="s">
        <v>118</v>
      </c>
      <c r="E83" s="199">
        <f>Weights!I49</f>
        <v>1.865</v>
      </c>
      <c r="F83" s="124">
        <f>Weights!M49</f>
        <v>0.49</v>
      </c>
      <c r="G83" s="204">
        <f t="shared" si="35"/>
        <v>73.72654155495978</v>
      </c>
      <c r="H83" s="273"/>
      <c r="I83">
        <f>Picogreen!U63</f>
        <v>70.713235714285716</v>
      </c>
      <c r="J83" s="132">
        <f t="shared" si="30"/>
        <v>144.31272594752187</v>
      </c>
      <c r="K83">
        <f>DMMB!U71</f>
        <v>244.48300000000003</v>
      </c>
      <c r="L83">
        <f t="shared" si="31"/>
        <v>3457.3866904892429</v>
      </c>
      <c r="M83">
        <f t="shared" si="32"/>
        <v>498.94489795918378</v>
      </c>
      <c r="N83" s="79">
        <f>OHP!BC47</f>
        <v>105.95814373783929</v>
      </c>
      <c r="O83">
        <f t="shared" si="33"/>
        <v>1498.4202415225257</v>
      </c>
      <c r="P83" s="132">
        <f t="shared" si="34"/>
        <v>216.2411096690598</v>
      </c>
      <c r="Q83">
        <f>Rx!G14</f>
        <v>7.6948413200525392E-4</v>
      </c>
      <c r="R83">
        <f>Q83/I83</f>
        <v>1.0881755363512524E-5</v>
      </c>
      <c r="S83" s="132">
        <f>Q83/F83</f>
        <v>1.5703757796025591E-3</v>
      </c>
      <c r="T83">
        <f>Rx!K14</f>
        <v>1.4815404860836145</v>
      </c>
      <c r="U83">
        <f>T83/I83</f>
        <v>2.0951388677357737E-2</v>
      </c>
      <c r="V83" s="132">
        <f>T83/F83</f>
        <v>3.0235520124155402</v>
      </c>
      <c r="W83" s="271"/>
      <c r="X83" s="271"/>
      <c r="Y83" s="384"/>
      <c r="Z83">
        <f t="shared" si="36"/>
        <v>3.806122448979592</v>
      </c>
    </row>
    <row r="84" spans="2:26" x14ac:dyDescent="0.25">
      <c r="B84" s="628"/>
      <c r="C84" s="657"/>
      <c r="D84" s="197" t="s">
        <v>119</v>
      </c>
      <c r="E84" s="199">
        <f>Weights!I50</f>
        <v>1.69</v>
      </c>
      <c r="F84" s="124">
        <f>Weights!M50</f>
        <v>0.49</v>
      </c>
      <c r="G84" s="204">
        <f t="shared" si="35"/>
        <v>71.005917159763314</v>
      </c>
      <c r="H84" s="273"/>
      <c r="I84">
        <f>Picogreen!U64</f>
        <v>49.592085714285716</v>
      </c>
      <c r="J84" s="132">
        <f t="shared" si="30"/>
        <v>101.20833819241983</v>
      </c>
      <c r="K84">
        <f>DMMB!U72</f>
        <v>188.56599999999986</v>
      </c>
      <c r="L84">
        <f t="shared" si="31"/>
        <v>3802.340580841525</v>
      </c>
      <c r="M84">
        <f t="shared" si="32"/>
        <v>384.82857142857114</v>
      </c>
      <c r="N84" s="79">
        <f>OHP!BC48</f>
        <v>101.49350801833928</v>
      </c>
      <c r="O84">
        <f t="shared" si="33"/>
        <v>2046.566635714267</v>
      </c>
      <c r="P84" s="132">
        <f t="shared" si="34"/>
        <v>207.12960820069242</v>
      </c>
      <c r="Q84">
        <f>Rx!G15</f>
        <v>5.1636435174036779E-4</v>
      </c>
      <c r="R84">
        <f>Q84/I84</f>
        <v>1.0412233006598905E-5</v>
      </c>
      <c r="S84" s="132">
        <f>Q84/F84</f>
        <v>1.0538047994701383E-3</v>
      </c>
      <c r="T84">
        <f>Rx!K15</f>
        <v>0.94531128029961964</v>
      </c>
      <c r="U84">
        <f>T84/I84</f>
        <v>1.9061736700203134E-2</v>
      </c>
      <c r="V84" s="132">
        <f>T84/F84</f>
        <v>1.9292066944890196</v>
      </c>
      <c r="W84" s="271"/>
      <c r="X84" s="271"/>
      <c r="Y84" s="384"/>
      <c r="Z84">
        <f t="shared" si="36"/>
        <v>3.4489795918367347</v>
      </c>
    </row>
    <row r="85" spans="2:26" x14ac:dyDescent="0.25">
      <c r="B85" s="628"/>
      <c r="C85" s="657"/>
      <c r="D85" s="197" t="s">
        <v>120</v>
      </c>
      <c r="E85" s="199">
        <f>Weights!I51</f>
        <v>2.09</v>
      </c>
      <c r="F85" s="124">
        <f>Weights!M51</f>
        <v>0.52666666666666673</v>
      </c>
      <c r="G85" s="204">
        <f t="shared" si="35"/>
        <v>74.80063795853269</v>
      </c>
      <c r="H85" s="273"/>
      <c r="I85">
        <f>Picogreen!U65</f>
        <v>61.955685714285707</v>
      </c>
      <c r="J85" s="132">
        <f t="shared" si="30"/>
        <v>117.63737793851715</v>
      </c>
      <c r="K85">
        <f>DMMB!U73</f>
        <v>219.63100000000011</v>
      </c>
      <c r="L85">
        <f t="shared" si="31"/>
        <v>3544.9692383819056</v>
      </c>
      <c r="M85">
        <f t="shared" si="32"/>
        <v>417.02088607594953</v>
      </c>
      <c r="N85" s="79">
        <f>OHP!BC49</f>
        <v>89.723104757839295</v>
      </c>
      <c r="O85">
        <f t="shared" si="33"/>
        <v>1448.1819339649562</v>
      </c>
      <c r="P85" s="132">
        <f t="shared" si="34"/>
        <v>170.36032548956825</v>
      </c>
      <c r="Q85">
        <f>Rx!G16</f>
        <v>8.4373260088295378E-4</v>
      </c>
      <c r="R85">
        <f>Q85/I85</f>
        <v>1.361832398682348E-5</v>
      </c>
      <c r="S85" s="132">
        <f>Q85/F85</f>
        <v>1.6020239257271273E-3</v>
      </c>
      <c r="T85">
        <f>Rx!K16</f>
        <v>1.3488652186731416</v>
      </c>
      <c r="U85">
        <f>T85/I85</f>
        <v>2.1771451693611405E-2</v>
      </c>
      <c r="V85" s="132">
        <f>T85/F85</f>
        <v>2.5611364911515344</v>
      </c>
      <c r="W85" s="271"/>
      <c r="X85" s="271"/>
      <c r="Y85" s="384"/>
      <c r="Z85">
        <f t="shared" si="36"/>
        <v>3.9683544303797462</v>
      </c>
    </row>
    <row r="86" spans="2:26" x14ac:dyDescent="0.25">
      <c r="B86" s="628"/>
      <c r="C86" s="657"/>
      <c r="D86" s="197" t="s">
        <v>121</v>
      </c>
      <c r="E86" s="199">
        <f>Weights!I52</f>
        <v>1.6600000000000001</v>
      </c>
      <c r="F86" s="124">
        <f>Weights!M52</f>
        <v>0.44666666666666671</v>
      </c>
      <c r="G86" s="204">
        <f t="shared" si="35"/>
        <v>73.092369477911646</v>
      </c>
      <c r="H86" s="273"/>
      <c r="I86">
        <f>Picogreen!U66</f>
        <v>52.167835714285715</v>
      </c>
      <c r="J86" s="132">
        <f t="shared" si="30"/>
        <v>116.79366204690831</v>
      </c>
      <c r="K86">
        <f>DMMB!U74</f>
        <v>192.70799999999994</v>
      </c>
      <c r="L86">
        <f t="shared" si="31"/>
        <v>3694.0002850689184</v>
      </c>
      <c r="M86">
        <f t="shared" si="32"/>
        <v>431.43582089552223</v>
      </c>
      <c r="N86" s="79">
        <f>OHP!BC50</f>
        <v>94.796554439089292</v>
      </c>
      <c r="O86">
        <f t="shared" si="33"/>
        <v>1817.1456250988397</v>
      </c>
      <c r="P86" s="132">
        <f t="shared" si="34"/>
        <v>212.23109202781183</v>
      </c>
      <c r="Q86">
        <f>Rx!G17</f>
        <v>7.2898496716287205E-4</v>
      </c>
      <c r="R86">
        <f>Q86/I86</f>
        <v>1.3973839573399165E-5</v>
      </c>
      <c r="S86" s="132">
        <f>Q86/F86</f>
        <v>1.6320558966332955E-3</v>
      </c>
      <c r="T86">
        <f>Rx!K17</f>
        <v>1.0945709561364019</v>
      </c>
      <c r="U86">
        <f>T86/I86</f>
        <v>2.0981720655063766E-2</v>
      </c>
      <c r="V86" s="132">
        <f>T86/F86</f>
        <v>2.4505319913501533</v>
      </c>
      <c r="W86" s="271"/>
      <c r="X86" s="271"/>
      <c r="Y86" s="384"/>
      <c r="Z86">
        <f t="shared" si="36"/>
        <v>3.716417910447761</v>
      </c>
    </row>
    <row r="87" spans="2:26" x14ac:dyDescent="0.25">
      <c r="B87" s="628"/>
      <c r="C87" s="657"/>
      <c r="D87" s="197" t="s">
        <v>122</v>
      </c>
      <c r="E87" s="199">
        <f>Weights!I53</f>
        <v>1.8233333333333333</v>
      </c>
      <c r="F87" s="124">
        <f>Weights!M53</f>
        <v>0.42499999999999999</v>
      </c>
      <c r="G87" s="204">
        <f t="shared" si="35"/>
        <v>76.691042047531994</v>
      </c>
      <c r="H87" s="273"/>
      <c r="I87">
        <f>Picogreen!U67</f>
        <v>53.713285714285711</v>
      </c>
      <c r="J87" s="132">
        <f t="shared" si="30"/>
        <v>126.38420168067226</v>
      </c>
      <c r="K87">
        <f>DMMB!U75</f>
        <v>229.98600000000025</v>
      </c>
      <c r="L87">
        <f t="shared" si="31"/>
        <v>4281.7339684515446</v>
      </c>
      <c r="M87">
        <f t="shared" si="32"/>
        <v>541.14352941176526</v>
      </c>
      <c r="N87" s="79">
        <f>OHP!BC51</f>
        <v>95.202430413589283</v>
      </c>
      <c r="O87">
        <f t="shared" si="33"/>
        <v>1772.4186697495036</v>
      </c>
      <c r="P87" s="132">
        <f t="shared" si="34"/>
        <v>224.00571862021008</v>
      </c>
      <c r="Q87" s="271"/>
      <c r="R87" s="271"/>
      <c r="S87" s="272"/>
      <c r="T87" s="271"/>
      <c r="U87" s="271"/>
      <c r="V87" s="272"/>
      <c r="W87">
        <f>Rx!T24</f>
        <v>2.1668991196147056E-3</v>
      </c>
      <c r="X87">
        <f>W87/I87</f>
        <v>4.0341958061195128E-5</v>
      </c>
      <c r="Y87" s="4">
        <f>W87/F87</f>
        <v>5.0985861637993079E-3</v>
      </c>
      <c r="Z87">
        <f t="shared" si="36"/>
        <v>4.2901960784313724</v>
      </c>
    </row>
    <row r="88" spans="2:26" x14ac:dyDescent="0.25">
      <c r="B88" s="628"/>
      <c r="C88" s="657"/>
      <c r="D88" s="197" t="s">
        <v>123</v>
      </c>
      <c r="E88" s="199">
        <f>Weights!I54</f>
        <v>1.915</v>
      </c>
      <c r="F88" s="124">
        <f>Weights!M54</f>
        <v>0.53</v>
      </c>
      <c r="G88" s="204">
        <f t="shared" si="35"/>
        <v>72.323759791122711</v>
      </c>
      <c r="H88" s="273"/>
      <c r="I88">
        <f>Picogreen!U68</f>
        <v>55.773885714285711</v>
      </c>
      <c r="J88" s="132">
        <f t="shared" si="30"/>
        <v>105.23374663072775</v>
      </c>
      <c r="K88">
        <f>DMMB!U76</f>
        <v>207.20500000000001</v>
      </c>
      <c r="L88">
        <f t="shared" si="31"/>
        <v>3715.0899089486838</v>
      </c>
      <c r="M88">
        <f t="shared" si="32"/>
        <v>390.95283018867923</v>
      </c>
      <c r="N88" s="79">
        <f>OHP!BC52</f>
        <v>107.95370061246429</v>
      </c>
      <c r="O88">
        <f t="shared" si="33"/>
        <v>1935.5599709419823</v>
      </c>
      <c r="P88" s="132">
        <f t="shared" si="34"/>
        <v>203.68622757068732</v>
      </c>
      <c r="Q88" s="271"/>
      <c r="R88" s="271"/>
      <c r="S88" s="272"/>
      <c r="T88" s="271"/>
      <c r="U88" s="271"/>
      <c r="V88" s="272"/>
      <c r="W88">
        <f>Rx!T25</f>
        <v>2.4076656884607838E-3</v>
      </c>
      <c r="X88">
        <f>W88/I88</f>
        <v>4.3168333309151049E-5</v>
      </c>
      <c r="Y88" s="4">
        <f>W88/F88</f>
        <v>4.5427654499260069E-3</v>
      </c>
      <c r="Z88">
        <f t="shared" si="36"/>
        <v>3.6132075471698113</v>
      </c>
    </row>
    <row r="89" spans="2:26" x14ac:dyDescent="0.25">
      <c r="B89" s="628"/>
      <c r="C89" s="657"/>
      <c r="D89" s="197" t="s">
        <v>124</v>
      </c>
      <c r="E89" s="199">
        <f>Weights!I55</f>
        <v>1.5750000000000002</v>
      </c>
      <c r="F89" s="124">
        <f>Weights!M55</f>
        <v>0.495</v>
      </c>
      <c r="G89" s="204">
        <f t="shared" si="35"/>
        <v>68.571428571428584</v>
      </c>
      <c r="H89" s="273"/>
      <c r="I89">
        <f>Picogreen!U69</f>
        <v>57.834485714285712</v>
      </c>
      <c r="J89" s="132">
        <f t="shared" si="30"/>
        <v>116.83734487734488</v>
      </c>
      <c r="K89">
        <f>DMMB!U77</f>
        <v>229.98600000000025</v>
      </c>
      <c r="L89">
        <f t="shared" si="31"/>
        <v>3976.6239322361835</v>
      </c>
      <c r="M89">
        <f t="shared" si="32"/>
        <v>464.61818181818234</v>
      </c>
      <c r="N89" s="79">
        <f>OHP!BC53</f>
        <v>105.82285174633928</v>
      </c>
      <c r="O89">
        <f t="shared" si="33"/>
        <v>1829.7534842641464</v>
      </c>
      <c r="P89" s="132">
        <f t="shared" si="34"/>
        <v>213.78353888149351</v>
      </c>
      <c r="Q89" s="271"/>
      <c r="R89" s="271"/>
      <c r="S89" s="272"/>
      <c r="T89" s="271"/>
      <c r="U89" s="271"/>
      <c r="V89" s="272"/>
      <c r="W89">
        <f>Rx!T26</f>
        <v>3.755958473998823E-3</v>
      </c>
      <c r="X89">
        <f>W89/I89</f>
        <v>6.4943232875866355E-5</v>
      </c>
      <c r="Y89" s="4">
        <f>W89/F89</f>
        <v>7.5877948969673191E-3</v>
      </c>
      <c r="Z89">
        <f t="shared" si="36"/>
        <v>3.1818181818181821</v>
      </c>
    </row>
    <row r="90" spans="2:26" x14ac:dyDescent="0.25">
      <c r="B90" s="628"/>
      <c r="C90" s="657"/>
      <c r="D90" s="197" t="s">
        <v>125</v>
      </c>
      <c r="E90" s="199">
        <f>Weights!I56</f>
        <v>1.8800000000000001</v>
      </c>
      <c r="F90" s="124">
        <f>Weights!M56</f>
        <v>0.53500000000000003</v>
      </c>
      <c r="G90" s="204">
        <f t="shared" si="35"/>
        <v>71.542553191489361</v>
      </c>
      <c r="H90" s="273"/>
      <c r="I90">
        <f>Picogreen!U70</f>
        <v>60.410235714285719</v>
      </c>
      <c r="J90" s="132">
        <f t="shared" si="30"/>
        <v>112.91632843791723</v>
      </c>
      <c r="K90">
        <f>DMMB!U78</f>
        <v>234.12800000000033</v>
      </c>
      <c r="L90">
        <f t="shared" si="31"/>
        <v>3875.6346044952461</v>
      </c>
      <c r="M90">
        <f t="shared" si="32"/>
        <v>437.62242990654266</v>
      </c>
      <c r="N90" s="79">
        <f>OHP!BC54</f>
        <v>132.37390507821425</v>
      </c>
      <c r="O90">
        <f t="shared" si="33"/>
        <v>2191.2496038632517</v>
      </c>
      <c r="P90" s="132">
        <f t="shared" si="34"/>
        <v>247.42785995927895</v>
      </c>
      <c r="Q90" s="271"/>
      <c r="R90" s="271"/>
      <c r="S90" s="272"/>
      <c r="T90" s="271"/>
      <c r="U90" s="271"/>
      <c r="V90" s="272"/>
      <c r="W90">
        <f>Rx!T27</f>
        <v>2.2150524333839211E-3</v>
      </c>
      <c r="X90">
        <f>W90/I90</f>
        <v>3.6666839769673482E-5</v>
      </c>
      <c r="Y90" s="4">
        <f>W90/F90</f>
        <v>4.1402849222129364E-3</v>
      </c>
      <c r="Z90">
        <f t="shared" si="36"/>
        <v>3.514018691588785</v>
      </c>
    </row>
    <row r="91" spans="2:26" ht="15.75" thickBot="1" x14ac:dyDescent="0.3">
      <c r="B91" s="629"/>
      <c r="C91" s="636"/>
      <c r="D91" s="78" t="s">
        <v>126</v>
      </c>
      <c r="E91" s="200">
        <f>Weights!I57</f>
        <v>2.0249999999999999</v>
      </c>
      <c r="F91" s="209">
        <f>Weights!M57</f>
        <v>0.53500000000000003</v>
      </c>
      <c r="G91" s="206">
        <f t="shared" si="35"/>
        <v>73.58024691358024</v>
      </c>
      <c r="H91" s="275"/>
      <c r="I91" s="6">
        <f>Picogreen!U71</f>
        <v>75.864735714285715</v>
      </c>
      <c r="J91" s="203">
        <f t="shared" si="30"/>
        <v>141.80324432576768</v>
      </c>
      <c r="K91" s="6">
        <f>DMMB!U79</f>
        <v>215.48900000000003</v>
      </c>
      <c r="L91" s="6">
        <f t="shared" si="31"/>
        <v>2840.4369694445841</v>
      </c>
      <c r="M91" s="6">
        <f t="shared" si="32"/>
        <v>402.78317757009347</v>
      </c>
      <c r="N91" s="82">
        <f>OHP!BC55</f>
        <v>128.3151453332143</v>
      </c>
      <c r="O91" s="6">
        <f t="shared" si="33"/>
        <v>1691.3674597966326</v>
      </c>
      <c r="P91" s="203">
        <f t="shared" si="34"/>
        <v>239.84139314619495</v>
      </c>
      <c r="Q91" s="276"/>
      <c r="R91" s="276"/>
      <c r="S91" s="278"/>
      <c r="T91" s="276"/>
      <c r="U91" s="276"/>
      <c r="V91" s="278"/>
      <c r="W91" s="6">
        <f>Rx!T28</f>
        <v>2.5521256297684311E-3</v>
      </c>
      <c r="X91">
        <f>W91/I91</f>
        <v>3.3640473478745052E-5</v>
      </c>
      <c r="Y91" s="4">
        <f>W91/F91</f>
        <v>4.7703282799409922E-3</v>
      </c>
      <c r="Z91">
        <f t="shared" si="36"/>
        <v>3.7850467289719623</v>
      </c>
    </row>
    <row r="92" spans="2:26" x14ac:dyDescent="0.25">
      <c r="B92" s="627" t="s">
        <v>94</v>
      </c>
      <c r="C92" s="635" t="s">
        <v>28</v>
      </c>
      <c r="D92" s="196" t="s">
        <v>46</v>
      </c>
      <c r="E92" s="201">
        <f>Weights!I9</f>
        <v>2.1966666666666668</v>
      </c>
      <c r="F92" s="212">
        <f>Weights!M9</f>
        <v>0.56499999999999995</v>
      </c>
      <c r="G92" s="205">
        <f t="shared" si="35"/>
        <v>74.279210925644918</v>
      </c>
      <c r="H92" s="205">
        <f>'Alamar Blue - Analysis'!L20</f>
        <v>1.3913043478260871</v>
      </c>
      <c r="I92" s="8">
        <f>Picogreen!F50</f>
        <v>31.750363333333336</v>
      </c>
      <c r="J92" s="202">
        <f t="shared" si="30"/>
        <v>56.195333333333345</v>
      </c>
      <c r="K92" s="8">
        <f>DMMB!F58</f>
        <v>305.6155</v>
      </c>
      <c r="L92" s="8">
        <f t="shared" si="31"/>
        <v>9625.5748884343466</v>
      </c>
      <c r="M92" s="8">
        <f t="shared" si="32"/>
        <v>540.91238938053107</v>
      </c>
      <c r="N92" s="251">
        <f>OHP!G50</f>
        <v>109.36667871063587</v>
      </c>
      <c r="O92" s="8">
        <f t="shared" si="33"/>
        <v>3444.5803836145874</v>
      </c>
      <c r="P92" s="202">
        <f t="shared" si="34"/>
        <v>193.56934285068297</v>
      </c>
      <c r="Q92" s="279"/>
      <c r="R92" s="279"/>
      <c r="S92" s="280"/>
      <c r="T92" s="279"/>
      <c r="U92" s="279"/>
      <c r="V92" s="280"/>
      <c r="W92" s="279"/>
      <c r="X92" s="279"/>
      <c r="Y92" s="400"/>
      <c r="Z92">
        <f t="shared" si="36"/>
        <v>3.8879056047197644</v>
      </c>
    </row>
    <row r="93" spans="2:26" x14ac:dyDescent="0.25">
      <c r="B93" s="628"/>
      <c r="C93" s="657"/>
      <c r="D93" s="197" t="s">
        <v>44</v>
      </c>
      <c r="E93" s="199">
        <f>Weights!I10</f>
        <v>1.4233333333333336</v>
      </c>
      <c r="F93" s="124">
        <f>Weights!M10</f>
        <v>0.42</v>
      </c>
      <c r="G93" s="204">
        <f t="shared" si="35"/>
        <v>70.491803278688536</v>
      </c>
      <c r="H93" s="204">
        <f>'Alamar Blue - Analysis'!L21</f>
        <v>1.8633540372670809</v>
      </c>
      <c r="I93">
        <f>Picogreen!F51</f>
        <v>42.726863333333327</v>
      </c>
      <c r="J93" s="132">
        <f t="shared" si="30"/>
        <v>101.73062698412697</v>
      </c>
      <c r="K93">
        <f>DMMB!F59</f>
        <v>192.51000000000005</v>
      </c>
      <c r="L93">
        <f t="shared" si="31"/>
        <v>4505.5963621325218</v>
      </c>
      <c r="M93">
        <f t="shared" si="32"/>
        <v>458.357142857143</v>
      </c>
      <c r="N93" s="79">
        <f>OHP!G51</f>
        <v>84.695007608510849</v>
      </c>
      <c r="O93">
        <f t="shared" si="33"/>
        <v>1982.242575303582</v>
      </c>
      <c r="P93" s="132">
        <f t="shared" si="34"/>
        <v>201.65478002026393</v>
      </c>
      <c r="Q93" s="271"/>
      <c r="R93" s="271"/>
      <c r="S93" s="272"/>
      <c r="T93" s="271"/>
      <c r="U93" s="271"/>
      <c r="V93" s="272"/>
      <c r="W93" s="271"/>
      <c r="X93" s="271"/>
      <c r="Y93" s="384"/>
      <c r="Z93">
        <f t="shared" si="36"/>
        <v>3.3888888888888897</v>
      </c>
    </row>
    <row r="94" spans="2:26" x14ac:dyDescent="0.25">
      <c r="B94" s="628"/>
      <c r="C94" s="657"/>
      <c r="D94" s="197" t="s">
        <v>45</v>
      </c>
      <c r="E94" s="199">
        <f>Weights!I11</f>
        <v>1.27</v>
      </c>
      <c r="F94" s="124">
        <f>Weights!M11</f>
        <v>0.435</v>
      </c>
      <c r="G94" s="204">
        <f t="shared" si="35"/>
        <v>65.748031496062993</v>
      </c>
      <c r="H94" s="204">
        <f>'Alamar Blue - Analysis'!L22</f>
        <v>1.4037267080745341</v>
      </c>
      <c r="I94">
        <f>Picogreen!F52</f>
        <v>20.773863333333331</v>
      </c>
      <c r="J94" s="132">
        <f t="shared" si="30"/>
        <v>47.756007662835245</v>
      </c>
      <c r="K94">
        <f>DMMB!F60</f>
        <v>175.66449999999975</v>
      </c>
      <c r="L94">
        <f t="shared" si="31"/>
        <v>8456.0342571490764</v>
      </c>
      <c r="M94">
        <f t="shared" si="32"/>
        <v>403.82643678160861</v>
      </c>
      <c r="N94" s="79">
        <f>OHP!G52</f>
        <v>85.924400053010842</v>
      </c>
      <c r="O94">
        <f t="shared" si="33"/>
        <v>4136.1781713052023</v>
      </c>
      <c r="P94" s="132">
        <f t="shared" si="34"/>
        <v>197.5273564437031</v>
      </c>
      <c r="Q94" s="271"/>
      <c r="R94" s="271"/>
      <c r="S94" s="272"/>
      <c r="T94" s="271"/>
      <c r="U94" s="271"/>
      <c r="V94" s="272"/>
      <c r="W94" s="271"/>
      <c r="X94" s="271"/>
      <c r="Y94" s="384"/>
      <c r="Z94">
        <f t="shared" si="36"/>
        <v>2.9195402298850577</v>
      </c>
    </row>
    <row r="95" spans="2:26" x14ac:dyDescent="0.25">
      <c r="B95" s="628"/>
      <c r="C95" s="657"/>
      <c r="D95" s="197" t="s">
        <v>47</v>
      </c>
      <c r="E95" s="199">
        <f>Weights!I12</f>
        <v>1.7433333333333334</v>
      </c>
      <c r="F95" s="124">
        <f>Weights!M12</f>
        <v>0.51</v>
      </c>
      <c r="G95" s="204">
        <f t="shared" si="35"/>
        <v>70.745697896749519</v>
      </c>
      <c r="H95" s="204">
        <f>'Alamar Blue - Analysis'!L23</f>
        <v>1.8322981366459627</v>
      </c>
      <c r="I95">
        <f>Picogreen!F53</f>
        <v>25.164463333333334</v>
      </c>
      <c r="J95" s="132">
        <f t="shared" si="30"/>
        <v>49.342084967320261</v>
      </c>
      <c r="K95">
        <f>DMMB!F61</f>
        <v>259.89199999999971</v>
      </c>
      <c r="L95">
        <f t="shared" si="31"/>
        <v>10327.738627183109</v>
      </c>
      <c r="M95">
        <f t="shared" si="32"/>
        <v>509.5921568627445</v>
      </c>
      <c r="N95" s="79">
        <f>OHP!G53</f>
        <v>92.322828911885864</v>
      </c>
      <c r="O95">
        <f t="shared" si="33"/>
        <v>3668.7779782528987</v>
      </c>
      <c r="P95" s="132">
        <f t="shared" si="34"/>
        <v>181.02515472918796</v>
      </c>
      <c r="Q95" s="271"/>
      <c r="R95" s="271"/>
      <c r="S95" s="272"/>
      <c r="T95" s="271"/>
      <c r="U95" s="271"/>
      <c r="V95" s="272"/>
      <c r="W95" s="271"/>
      <c r="X95" s="271"/>
      <c r="Y95" s="384"/>
      <c r="Z95">
        <f t="shared" si="36"/>
        <v>3.4183006535947715</v>
      </c>
    </row>
    <row r="96" spans="2:26" x14ac:dyDescent="0.25">
      <c r="B96" s="628"/>
      <c r="C96" s="658"/>
      <c r="D96" s="249" t="s">
        <v>48</v>
      </c>
      <c r="E96" s="250">
        <f>Weights!I13</f>
        <v>1.4466666666666665</v>
      </c>
      <c r="F96" s="77">
        <f>Weights!M13</f>
        <v>0.42</v>
      </c>
      <c r="G96" s="247">
        <f t="shared" si="35"/>
        <v>70.967741935483872</v>
      </c>
      <c r="H96" s="247">
        <f>'Alamar Blue - Analysis'!L24</f>
        <v>1.6956521739130435</v>
      </c>
      <c r="I96" s="162">
        <f>Picogreen!F54</f>
        <v>21.871513333333333</v>
      </c>
      <c r="J96" s="134">
        <f t="shared" si="30"/>
        <v>52.075031746031748</v>
      </c>
      <c r="K96" s="162">
        <f>DMMB!F62</f>
        <v>178.07099999999991</v>
      </c>
      <c r="L96" s="162">
        <f t="shared" si="31"/>
        <v>8141.68627868152</v>
      </c>
      <c r="M96" s="162">
        <f t="shared" si="32"/>
        <v>423.97857142857123</v>
      </c>
      <c r="N96" s="138">
        <f>OHP!G54</f>
        <v>76.955423355635872</v>
      </c>
      <c r="O96" s="162">
        <f t="shared" si="33"/>
        <v>3518.5230296045297</v>
      </c>
      <c r="P96" s="134">
        <f t="shared" si="34"/>
        <v>183.22719846579972</v>
      </c>
      <c r="Q96" s="281"/>
      <c r="R96" s="281"/>
      <c r="S96" s="282"/>
      <c r="T96" s="281"/>
      <c r="U96" s="281"/>
      <c r="V96" s="282"/>
      <c r="W96" s="281"/>
      <c r="X96" s="281"/>
      <c r="Y96" s="385"/>
      <c r="Z96">
        <f t="shared" si="36"/>
        <v>3.4444444444444442</v>
      </c>
    </row>
    <row r="97" spans="1:26" x14ac:dyDescent="0.25">
      <c r="B97" s="628"/>
      <c r="C97" s="680" t="s">
        <v>151</v>
      </c>
      <c r="D97" s="387" t="s">
        <v>117</v>
      </c>
      <c r="E97" s="388">
        <f>Weights!I67</f>
        <v>1.9</v>
      </c>
      <c r="F97" s="391">
        <f>Weights!M67</f>
        <v>0.57000000000000006</v>
      </c>
      <c r="G97" s="389">
        <f t="shared" si="35"/>
        <v>70</v>
      </c>
      <c r="H97" s="390"/>
      <c r="I97" s="268">
        <f>Picogreen!AJ46</f>
        <v>41.439070000000001</v>
      </c>
      <c r="J97" s="133">
        <f t="shared" si="30"/>
        <v>72.700122807017536</v>
      </c>
      <c r="K97" s="268">
        <f>DMMB!AJ54</f>
        <v>398.00200000000018</v>
      </c>
      <c r="L97" s="268">
        <f t="shared" ref="L97:L106" si="37">K97*1000/I97</f>
        <v>9604.5109120450852</v>
      </c>
      <c r="M97" s="268">
        <f t="shared" ref="M97:M106" si="38">K97/F97</f>
        <v>698.24912280701778</v>
      </c>
      <c r="N97" s="163">
        <f>OHP!BS51</f>
        <v>106.89140956338586</v>
      </c>
      <c r="O97" s="268">
        <f t="shared" si="33"/>
        <v>2579.4837954468057</v>
      </c>
      <c r="P97" s="133">
        <f t="shared" si="34"/>
        <v>187.52878870769447</v>
      </c>
      <c r="Q97" s="268">
        <f>Rx!AI24</f>
        <v>1.0815274420705781E-4</v>
      </c>
      <c r="R97" s="268">
        <f>Q97/I97</f>
        <v>2.6099220906033319E-6</v>
      </c>
      <c r="S97" s="133">
        <f>Q97/F97</f>
        <v>1.8974165650361018E-4</v>
      </c>
      <c r="T97" s="268">
        <f>Rx!AX24</f>
        <v>0.12561334845156072</v>
      </c>
      <c r="U97" s="268">
        <f>T97/I97</f>
        <v>3.0312781742341398E-3</v>
      </c>
      <c r="V97" s="133">
        <f>T97/F97</f>
        <v>0.22037429552905388</v>
      </c>
      <c r="W97" s="392"/>
      <c r="X97" s="392"/>
      <c r="Y97" s="401"/>
      <c r="Z97">
        <f t="shared" si="36"/>
        <v>3.3333333333333326</v>
      </c>
    </row>
    <row r="98" spans="1:26" x14ac:dyDescent="0.25">
      <c r="B98" s="628"/>
      <c r="C98" s="657"/>
      <c r="D98" s="197" t="s">
        <v>118</v>
      </c>
      <c r="E98" s="199">
        <f>Weights!I68</f>
        <v>2.2899999999999996</v>
      </c>
      <c r="F98" s="124">
        <f>Weights!M68</f>
        <v>0.65500000000000003</v>
      </c>
      <c r="G98" s="204">
        <f t="shared" si="35"/>
        <v>71.397379912663752</v>
      </c>
      <c r="H98" s="273"/>
      <c r="I98">
        <f>Picogreen!AJ47</f>
        <v>30.712789999999995</v>
      </c>
      <c r="J98" s="132">
        <f t="shared" si="30"/>
        <v>46.889755725190831</v>
      </c>
      <c r="K98">
        <f>DMMB!AJ55</f>
        <v>208.78910000000005</v>
      </c>
      <c r="L98">
        <f t="shared" si="37"/>
        <v>6798.115703587986</v>
      </c>
      <c r="M98">
        <f t="shared" si="38"/>
        <v>318.76198473282449</v>
      </c>
      <c r="N98" s="79">
        <f>OHP!BS52</f>
        <v>122.20869536726087</v>
      </c>
      <c r="O98">
        <f t="shared" si="33"/>
        <v>3979.0815281601217</v>
      </c>
      <c r="P98" s="132">
        <f t="shared" si="34"/>
        <v>186.57816086604711</v>
      </c>
      <c r="Q98">
        <f>Rx!AI25</f>
        <v>2.317558804436953E-5</v>
      </c>
      <c r="R98">
        <f>Q98/I98</f>
        <v>7.5459077616750335E-7</v>
      </c>
      <c r="S98" s="132">
        <f>Q98/F98</f>
        <v>3.5382577166976377E-5</v>
      </c>
      <c r="T98">
        <f>Rx!AX25</f>
        <v>0.11514556941393064</v>
      </c>
      <c r="U98">
        <f>T98/I98</f>
        <v>3.749108088647455E-3</v>
      </c>
      <c r="V98" s="132">
        <f>T98/F98</f>
        <v>0.17579476246401624</v>
      </c>
      <c r="W98" s="271"/>
      <c r="X98" s="271"/>
      <c r="Y98" s="384"/>
      <c r="Z98">
        <f t="shared" si="36"/>
        <v>3.4961832061068696</v>
      </c>
    </row>
    <row r="99" spans="1:26" x14ac:dyDescent="0.25">
      <c r="A99" s="124"/>
      <c r="B99" s="628"/>
      <c r="C99" s="657"/>
      <c r="D99" s="197" t="s">
        <v>119</v>
      </c>
      <c r="E99" s="199">
        <f>Weights!I69</f>
        <v>1.9049999999999998</v>
      </c>
      <c r="F99" s="124">
        <f>Weights!M69</f>
        <v>0.56000000000000005</v>
      </c>
      <c r="G99" s="204">
        <f t="shared" si="35"/>
        <v>70.603674540682405</v>
      </c>
      <c r="H99" s="273"/>
      <c r="I99">
        <f>Picogreen!AJ48</f>
        <v>24.650109999999998</v>
      </c>
      <c r="J99" s="132">
        <f t="shared" si="30"/>
        <v>44.018053571428567</v>
      </c>
      <c r="K99">
        <f>DMMB!AJ56</f>
        <v>196.81360000000026</v>
      </c>
      <c r="L99">
        <f t="shared" si="37"/>
        <v>7984.2889139237222</v>
      </c>
      <c r="M99">
        <f t="shared" si="38"/>
        <v>351.45285714285757</v>
      </c>
      <c r="N99" s="79">
        <f>OHP!BS53</f>
        <v>128.20868679326088</v>
      </c>
      <c r="O99">
        <f t="shared" si="33"/>
        <v>5201.1405544746412</v>
      </c>
      <c r="P99" s="132">
        <f t="shared" si="34"/>
        <v>228.94408355939441</v>
      </c>
      <c r="Q99">
        <f>Rx!AI26</f>
        <v>5.4076372103528906E-5</v>
      </c>
      <c r="R99">
        <f>Q99/I99</f>
        <v>2.1937578413860593E-6</v>
      </c>
      <c r="S99" s="132">
        <f>Q99/F99</f>
        <v>9.6564950184873036E-5</v>
      </c>
      <c r="T99">
        <f>Rx!AX26</f>
        <v>9.4210011338670532E-2</v>
      </c>
      <c r="U99">
        <f>T99/I99</f>
        <v>3.8218900986109407E-3</v>
      </c>
      <c r="V99" s="132">
        <f>T99/F99</f>
        <v>0.16823216310476879</v>
      </c>
      <c r="W99" s="271"/>
      <c r="X99" s="271"/>
      <c r="Y99" s="384"/>
      <c r="Z99">
        <f t="shared" si="36"/>
        <v>3.4017857142857135</v>
      </c>
    </row>
    <row r="100" spans="1:26" x14ac:dyDescent="0.25">
      <c r="A100" s="124"/>
      <c r="B100" s="628"/>
      <c r="C100" s="657"/>
      <c r="D100" s="197" t="s">
        <v>120</v>
      </c>
      <c r="E100" s="199">
        <f>Weights!I70</f>
        <v>2.0699999999999998</v>
      </c>
      <c r="F100" s="124">
        <f>Weights!M70</f>
        <v>0.59</v>
      </c>
      <c r="G100" s="204">
        <f t="shared" si="35"/>
        <v>71.497584541062807</v>
      </c>
      <c r="H100" s="273"/>
      <c r="I100">
        <f>Picogreen!AJ49</f>
        <v>31.17915</v>
      </c>
      <c r="J100" s="132">
        <f t="shared" si="30"/>
        <v>52.846016949152542</v>
      </c>
      <c r="K100">
        <f>DMMB!AJ57</f>
        <v>381.23629999999963</v>
      </c>
      <c r="L100">
        <f t="shared" si="37"/>
        <v>12227.283296690244</v>
      </c>
      <c r="M100">
        <f t="shared" si="38"/>
        <v>646.16322033898246</v>
      </c>
      <c r="N100" s="79">
        <f>OHP!BS54</f>
        <v>130.77599081688587</v>
      </c>
      <c r="O100">
        <f t="shared" si="33"/>
        <v>4194.3411163192668</v>
      </c>
      <c r="P100" s="132">
        <f t="shared" si="34"/>
        <v>221.65422172353539</v>
      </c>
      <c r="Q100">
        <f>Rx!AI27</f>
        <v>0</v>
      </c>
      <c r="R100">
        <f>Q100/I100</f>
        <v>0</v>
      </c>
      <c r="S100" s="132">
        <f>Q100/F100</f>
        <v>0</v>
      </c>
      <c r="T100">
        <f>Rx!AX27</f>
        <v>0.12037945893274568</v>
      </c>
      <c r="U100">
        <f>T100/I100</f>
        <v>3.8608961095073367E-3</v>
      </c>
      <c r="V100" s="132">
        <f>T100/F100</f>
        <v>0.20403298124194183</v>
      </c>
      <c r="W100" s="271"/>
      <c r="X100" s="271"/>
      <c r="Y100" s="384"/>
      <c r="Z100">
        <f t="shared" si="36"/>
        <v>3.5084745762711864</v>
      </c>
    </row>
    <row r="101" spans="1:26" x14ac:dyDescent="0.25">
      <c r="B101" s="628"/>
      <c r="C101" s="657"/>
      <c r="D101" s="197" t="s">
        <v>121</v>
      </c>
      <c r="E101" s="199">
        <f>Weights!I71</f>
        <v>2.25</v>
      </c>
      <c r="F101" s="124">
        <f>Weights!M71</f>
        <v>0.65500000000000003</v>
      </c>
      <c r="G101" s="204">
        <f t="shared" si="35"/>
        <v>70.888888888888886</v>
      </c>
      <c r="H101" s="273"/>
      <c r="I101">
        <f>Picogreen!AJ50</f>
        <v>34.910029999999992</v>
      </c>
      <c r="J101" s="132">
        <f t="shared" si="30"/>
        <v>53.297755725190825</v>
      </c>
      <c r="K101">
        <f>DMMB!AJ58</f>
        <v>306.98820000000001</v>
      </c>
      <c r="L101">
        <f t="shared" si="37"/>
        <v>8793.6962529106986</v>
      </c>
      <c r="M101">
        <f t="shared" si="38"/>
        <v>468.68427480916029</v>
      </c>
      <c r="N101" s="79">
        <f>OHP!BS55</f>
        <v>112.77601653888586</v>
      </c>
      <c r="O101">
        <f t="shared" si="33"/>
        <v>3230.4760705987901</v>
      </c>
      <c r="P101" s="132">
        <f t="shared" si="34"/>
        <v>172.17712448684864</v>
      </c>
      <c r="Q101">
        <f>Rx!AI28</f>
        <v>1.1587794022184766E-4</v>
      </c>
      <c r="R101">
        <f>Q101/I101</f>
        <v>3.3193308691469956E-6</v>
      </c>
      <c r="S101" s="132">
        <f>Q101/F101</f>
        <v>1.7691288583488192E-4</v>
      </c>
      <c r="T101">
        <f>Rx!AX28</f>
        <v>8.8976121819855508E-2</v>
      </c>
      <c r="U101">
        <f>T101/I101</f>
        <v>2.5487265928976722E-3</v>
      </c>
      <c r="V101" s="132">
        <f>T101/F101</f>
        <v>0.13584140735855801</v>
      </c>
      <c r="W101" s="271"/>
      <c r="X101" s="271"/>
      <c r="Y101" s="384"/>
      <c r="Z101">
        <f t="shared" si="36"/>
        <v>3.4351145038167936</v>
      </c>
    </row>
    <row r="102" spans="1:26" x14ac:dyDescent="0.25">
      <c r="B102" s="628"/>
      <c r="C102" s="657"/>
      <c r="D102" s="197" t="s">
        <v>122</v>
      </c>
      <c r="E102" s="199">
        <f>Weights!I72</f>
        <v>1.5366666666666668</v>
      </c>
      <c r="F102" s="124">
        <f>Weights!M72</f>
        <v>0.48</v>
      </c>
      <c r="G102" s="204">
        <f t="shared" si="35"/>
        <v>68.76355748373102</v>
      </c>
      <c r="H102" s="273"/>
      <c r="I102">
        <f>Picogreen!AJ51</f>
        <v>30.246429999999997</v>
      </c>
      <c r="J102" s="132">
        <f t="shared" si="30"/>
        <v>63.013395833333327</v>
      </c>
      <c r="K102">
        <f>DMMB!AJ59</f>
        <v>237.5303000000001</v>
      </c>
      <c r="L102">
        <f t="shared" si="37"/>
        <v>7853.1681259573488</v>
      </c>
      <c r="M102">
        <f t="shared" si="38"/>
        <v>494.85479166666687</v>
      </c>
      <c r="N102" s="79">
        <f>OHP!BS46</f>
        <v>86.901053514260866</v>
      </c>
      <c r="O102">
        <f t="shared" si="33"/>
        <v>2873.1011730726859</v>
      </c>
      <c r="P102" s="132">
        <f t="shared" si="34"/>
        <v>181.04386148804349</v>
      </c>
      <c r="Q102" s="271"/>
      <c r="R102" s="271"/>
      <c r="S102" s="272"/>
      <c r="T102" s="271"/>
      <c r="U102" s="271"/>
      <c r="V102" s="272"/>
      <c r="W102">
        <f>Rx!BM24</f>
        <v>2.7445898996354901E-2</v>
      </c>
      <c r="X102">
        <f>W102/I102</f>
        <v>9.0740953548418453E-4</v>
      </c>
      <c r="Y102" s="4">
        <f>W102/F102</f>
        <v>5.717895624240605E-2</v>
      </c>
      <c r="Z102">
        <f t="shared" si="36"/>
        <v>3.2013888888888893</v>
      </c>
    </row>
    <row r="103" spans="1:26" x14ac:dyDescent="0.25">
      <c r="B103" s="628"/>
      <c r="C103" s="657"/>
      <c r="D103" s="197" t="s">
        <v>123</v>
      </c>
      <c r="E103" s="199">
        <f>Weights!I73</f>
        <v>1.96</v>
      </c>
      <c r="F103" s="124">
        <f>Weights!M73</f>
        <v>0.57499999999999996</v>
      </c>
      <c r="G103" s="204">
        <f t="shared" si="35"/>
        <v>70.663265306122454</v>
      </c>
      <c r="H103" s="273"/>
      <c r="I103">
        <f>Picogreen!AJ52</f>
        <v>23.717389999999998</v>
      </c>
      <c r="J103" s="132">
        <f t="shared" si="30"/>
        <v>41.247634782608692</v>
      </c>
      <c r="K103">
        <f>DMMB!AJ60</f>
        <v>175.25769999999994</v>
      </c>
      <c r="L103">
        <f t="shared" si="37"/>
        <v>7389.4176382814449</v>
      </c>
      <c r="M103">
        <f t="shared" si="38"/>
        <v>304.79599999999994</v>
      </c>
      <c r="N103" s="79">
        <f>OHP!BS47</f>
        <v>104.06449052613586</v>
      </c>
      <c r="O103">
        <f t="shared" si="33"/>
        <v>4387.6872845678154</v>
      </c>
      <c r="P103" s="132">
        <f t="shared" si="34"/>
        <v>180.98172265414934</v>
      </c>
      <c r="Q103" s="271"/>
      <c r="R103" s="271"/>
      <c r="S103" s="272"/>
      <c r="T103" s="271"/>
      <c r="U103" s="271"/>
      <c r="V103" s="272"/>
      <c r="W103">
        <f>Rx!BM25</f>
        <v>1.7871748183672959E-2</v>
      </c>
      <c r="X103">
        <f>W103/I103</f>
        <v>7.5352929574767544E-4</v>
      </c>
      <c r="Y103" s="4">
        <f>W103/F103</f>
        <v>3.1081301188996453E-2</v>
      </c>
      <c r="Z103">
        <f t="shared" si="36"/>
        <v>3.4086956521739133</v>
      </c>
    </row>
    <row r="104" spans="1:26" x14ac:dyDescent="0.25">
      <c r="B104" s="628"/>
      <c r="C104" s="657"/>
      <c r="D104" s="197" t="s">
        <v>124</v>
      </c>
      <c r="E104" s="199">
        <f>Weights!I74</f>
        <v>1.5550000000000002</v>
      </c>
      <c r="F104" s="124">
        <f>Weights!M74</f>
        <v>0.48</v>
      </c>
      <c r="G104" s="204">
        <f t="shared" si="35"/>
        <v>69.131832797427649</v>
      </c>
      <c r="H104" s="273"/>
      <c r="I104">
        <f>Picogreen!AJ53</f>
        <v>27.448269999999997</v>
      </c>
      <c r="J104" s="132">
        <f t="shared" si="30"/>
        <v>57.183895833333331</v>
      </c>
      <c r="K104">
        <f>DMMB!AJ61</f>
        <v>201.60380000000046</v>
      </c>
      <c r="L104">
        <f t="shared" si="37"/>
        <v>7344.8636289281794</v>
      </c>
      <c r="M104">
        <f t="shared" si="38"/>
        <v>420.00791666666765</v>
      </c>
      <c r="N104" s="79">
        <f>OHP!BS48</f>
        <v>95.987578991135862</v>
      </c>
      <c r="O104">
        <f t="shared" si="33"/>
        <v>3497.035659847993</v>
      </c>
      <c r="P104" s="132">
        <f t="shared" si="34"/>
        <v>199.97412289819971</v>
      </c>
      <c r="Q104" s="271"/>
      <c r="R104" s="271"/>
      <c r="S104" s="272"/>
      <c r="T104" s="271"/>
      <c r="U104" s="271"/>
      <c r="V104" s="272"/>
      <c r="W104">
        <f>Rx!BM26</f>
        <v>3.5221269959381456E-2</v>
      </c>
      <c r="X104">
        <f>W104/I104</f>
        <v>1.2831872449295151E-3</v>
      </c>
      <c r="Y104" s="4">
        <f>W104/F104</f>
        <v>7.3377645748711362E-2</v>
      </c>
      <c r="Z104">
        <f t="shared" si="36"/>
        <v>3.2395833333333339</v>
      </c>
    </row>
    <row r="105" spans="1:26" x14ac:dyDescent="0.25">
      <c r="B105" s="628"/>
      <c r="C105" s="657"/>
      <c r="D105" s="197" t="s">
        <v>125</v>
      </c>
      <c r="E105" s="199">
        <f>Weights!I75</f>
        <v>1.79</v>
      </c>
      <c r="F105" s="124">
        <f>Weights!M75</f>
        <v>0.52</v>
      </c>
      <c r="G105" s="204">
        <f t="shared" si="35"/>
        <v>70.949720670391059</v>
      </c>
      <c r="H105" s="273"/>
      <c r="I105">
        <f>Picogreen!AJ54</f>
        <v>43.770870000000002</v>
      </c>
      <c r="J105" s="132">
        <f t="shared" si="30"/>
        <v>84.174750000000003</v>
      </c>
      <c r="K105" s="341"/>
      <c r="L105" s="341"/>
      <c r="M105" s="341"/>
      <c r="N105" s="79">
        <f>OHP!BS49</f>
        <v>103.54526049888587</v>
      </c>
      <c r="O105">
        <f t="shared" si="33"/>
        <v>2365.6203429103844</v>
      </c>
      <c r="P105" s="132">
        <f t="shared" si="34"/>
        <v>199.12550095939588</v>
      </c>
      <c r="Q105" s="271"/>
      <c r="R105" s="271"/>
      <c r="S105" s="272"/>
      <c r="T105" s="271"/>
      <c r="U105" s="271"/>
      <c r="V105" s="272"/>
      <c r="W105">
        <f>Rx!BM27</f>
        <v>7.3982074461633199E-2</v>
      </c>
      <c r="X105">
        <f>W105/I105</f>
        <v>1.6902125651519651E-3</v>
      </c>
      <c r="Y105" s="4">
        <f>W105/F105</f>
        <v>0.14227322011852539</v>
      </c>
      <c r="Z105">
        <f t="shared" si="36"/>
        <v>3.4423076923076921</v>
      </c>
    </row>
    <row r="106" spans="1:26" x14ac:dyDescent="0.25">
      <c r="B106" s="628"/>
      <c r="C106" s="658"/>
      <c r="D106" s="249" t="s">
        <v>126</v>
      </c>
      <c r="E106" s="250">
        <f>Weights!I76</f>
        <v>2.33</v>
      </c>
      <c r="F106" s="77">
        <f>Weights!M76</f>
        <v>0.62</v>
      </c>
      <c r="G106" s="247">
        <f t="shared" si="35"/>
        <v>73.39055793991416</v>
      </c>
      <c r="H106" s="286"/>
      <c r="I106" s="162">
        <f>Picogreen!AJ55</f>
        <v>22.31831</v>
      </c>
      <c r="J106" s="134">
        <f t="shared" si="30"/>
        <v>35.997274193548385</v>
      </c>
      <c r="K106" s="162">
        <f>DMMB!AJ63</f>
        <v>237.53029999999995</v>
      </c>
      <c r="L106" s="162">
        <f t="shared" si="37"/>
        <v>10642.844373073049</v>
      </c>
      <c r="M106" s="162">
        <f t="shared" si="38"/>
        <v>383.11338709677415</v>
      </c>
      <c r="N106" s="138">
        <f>OHP!BS50</f>
        <v>107.98756184313585</v>
      </c>
      <c r="O106" s="162">
        <f t="shared" si="33"/>
        <v>4838.5187697068395</v>
      </c>
      <c r="P106" s="134">
        <f t="shared" si="34"/>
        <v>174.17348684376751</v>
      </c>
      <c r="Q106" s="281"/>
      <c r="R106" s="281"/>
      <c r="S106" s="282"/>
      <c r="T106" s="281"/>
      <c r="U106" s="281"/>
      <c r="V106" s="282"/>
      <c r="W106" s="162">
        <f>Rx!BM28</f>
        <v>2.8200226030081363E-2</v>
      </c>
      <c r="X106" s="162">
        <f>W106/I106</f>
        <v>1.2635466587784363E-3</v>
      </c>
      <c r="Y106" s="165">
        <f>W106/F106</f>
        <v>4.5484235532389297E-2</v>
      </c>
      <c r="Z106">
        <f t="shared" si="36"/>
        <v>3.7580645161290325</v>
      </c>
    </row>
    <row r="107" spans="1:26" x14ac:dyDescent="0.25">
      <c r="B107" s="628"/>
      <c r="C107" s="680" t="s">
        <v>210</v>
      </c>
      <c r="D107" s="387" t="s">
        <v>117</v>
      </c>
      <c r="E107" s="388">
        <f>Weights!I105</f>
        <v>1.6900000000000002</v>
      </c>
      <c r="F107" s="391">
        <f>Weights!M105</f>
        <v>0.53500000000000003</v>
      </c>
      <c r="G107" s="389">
        <f t="shared" si="35"/>
        <v>68.34319526627219</v>
      </c>
      <c r="H107" s="390"/>
      <c r="I107" s="268">
        <f>Picogreen!AY53</f>
        <v>13.545001153846153</v>
      </c>
      <c r="J107" s="133">
        <f t="shared" si="30"/>
        <v>25.317759166067574</v>
      </c>
      <c r="K107" s="268">
        <f>DMMB!AY61</f>
        <v>194.30480000000045</v>
      </c>
      <c r="L107" s="268">
        <f t="shared" ref="L107:L117" si="39">K107*1000/I107</f>
        <v>14345.129822659845</v>
      </c>
      <c r="M107" s="268">
        <f t="shared" ref="M107:M117" si="40">K107/F107</f>
        <v>363.18654205607561</v>
      </c>
      <c r="N107" s="163">
        <f>OHP!CY53</f>
        <v>80.255367494079522</v>
      </c>
      <c r="O107" s="268">
        <f t="shared" ref="O107:O117" si="41">(N107*1000)/I107</f>
        <v>5925.091226093452</v>
      </c>
      <c r="P107" s="133">
        <f t="shared" ref="P107:P117" si="42">N107/F107</f>
        <v>150.01003269921404</v>
      </c>
      <c r="Q107" s="268">
        <f>Rx!CA8</f>
        <v>3.1956690248115603E-3</v>
      </c>
      <c r="R107" s="268">
        <f t="shared" ref="R107:R117" si="43">Q107/I107</f>
        <v>2.3592977132409754E-4</v>
      </c>
      <c r="S107" s="133">
        <f t="shared" ref="S107:S117" si="44">Q107/F107</f>
        <v>5.9732131304888973E-3</v>
      </c>
      <c r="T107" s="268">
        <f>Rx!CE8</f>
        <v>3.89262654301419</v>
      </c>
      <c r="U107" s="268">
        <f t="shared" ref="U107:U117" si="45">T107/I107</f>
        <v>0.28738473321642088</v>
      </c>
      <c r="V107" s="133">
        <f t="shared" ref="V107:V117" si="46">T107/F107</f>
        <v>7.2759374635779244</v>
      </c>
      <c r="W107" s="392"/>
      <c r="X107" s="392"/>
      <c r="Y107" s="401"/>
      <c r="Z107">
        <f t="shared" si="36"/>
        <v>3.1588785046728973</v>
      </c>
    </row>
    <row r="108" spans="1:26" x14ac:dyDescent="0.25">
      <c r="B108" s="628"/>
      <c r="C108" s="657"/>
      <c r="D108" s="197" t="s">
        <v>118</v>
      </c>
      <c r="E108" s="199">
        <f>Weights!I106</f>
        <v>1.91</v>
      </c>
      <c r="F108" s="124">
        <f>Weights!M106</f>
        <v>0.57999999999999996</v>
      </c>
      <c r="G108" s="204">
        <f t="shared" si="35"/>
        <v>69.633507853403145</v>
      </c>
      <c r="H108" s="273"/>
      <c r="I108">
        <f>Picogreen!AY54</f>
        <v>15.076651153846152</v>
      </c>
      <c r="J108" s="132">
        <f t="shared" si="30"/>
        <v>25.994226127320953</v>
      </c>
      <c r="K108">
        <f>DMMB!AY62</f>
        <v>207.40039999999993</v>
      </c>
      <c r="L108">
        <f t="shared" si="39"/>
        <v>13756.397086039278</v>
      </c>
      <c r="M108">
        <f t="shared" si="40"/>
        <v>357.58689655172407</v>
      </c>
      <c r="N108" s="79">
        <f>OHP!CY54</f>
        <v>81.69293731632952</v>
      </c>
      <c r="O108">
        <f t="shared" si="41"/>
        <v>5418.5068343568537</v>
      </c>
      <c r="P108" s="132">
        <f t="shared" si="42"/>
        <v>140.84989192470607</v>
      </c>
      <c r="Q108">
        <f>Rx!CA9</f>
        <v>3.1104511841499199E-3</v>
      </c>
      <c r="R108">
        <f t="shared" si="43"/>
        <v>2.0630915661641635E-4</v>
      </c>
      <c r="S108" s="132">
        <f t="shared" si="44"/>
        <v>5.3628468692240002E-3</v>
      </c>
      <c r="T108">
        <f>Rx!CE9</f>
        <v>3.2446861453293701</v>
      </c>
      <c r="U108">
        <f t="shared" si="45"/>
        <v>0.21521265645929796</v>
      </c>
      <c r="V108" s="132">
        <f t="shared" si="46"/>
        <v>5.5942864574644311</v>
      </c>
      <c r="W108" s="271"/>
      <c r="X108" s="271"/>
      <c r="Y108" s="384"/>
      <c r="Z108">
        <f t="shared" si="36"/>
        <v>3.2931034482758621</v>
      </c>
    </row>
    <row r="109" spans="1:26" x14ac:dyDescent="0.25">
      <c r="B109" s="628"/>
      <c r="C109" s="657"/>
      <c r="D109" s="197" t="s">
        <v>119</v>
      </c>
      <c r="E109" s="199">
        <f>Weights!I107</f>
        <v>2.27</v>
      </c>
      <c r="F109" s="124">
        <f>Weights!M107</f>
        <v>0.61499999999999999</v>
      </c>
      <c r="G109" s="204">
        <f t="shared" si="35"/>
        <v>72.907488986784145</v>
      </c>
      <c r="H109" s="273"/>
      <c r="I109">
        <f>Picogreen!AY55</f>
        <v>15.382981153846151</v>
      </c>
      <c r="J109" s="132">
        <f t="shared" si="30"/>
        <v>25.012977485928701</v>
      </c>
      <c r="K109">
        <f>DMMB!AY63</f>
        <v>170.29620000000008</v>
      </c>
      <c r="L109">
        <f t="shared" si="39"/>
        <v>11070.428956315891</v>
      </c>
      <c r="M109">
        <f t="shared" si="40"/>
        <v>276.90439024390258</v>
      </c>
      <c r="N109" s="79">
        <f>OHP!CY55</f>
        <v>84.213893091579507</v>
      </c>
      <c r="O109">
        <f t="shared" si="41"/>
        <v>5474.4845780769756</v>
      </c>
      <c r="P109" s="132">
        <f t="shared" si="42"/>
        <v>136.93315949850327</v>
      </c>
      <c r="Q109">
        <f>Rx!CA10</f>
        <v>2.7269709011725303E-3</v>
      </c>
      <c r="R109">
        <f t="shared" si="43"/>
        <v>1.7727193928796536E-4</v>
      </c>
      <c r="S109" s="132">
        <f t="shared" si="44"/>
        <v>4.4340990262967976E-3</v>
      </c>
      <c r="T109">
        <f>Rx!CE10</f>
        <v>2.9057634757711597</v>
      </c>
      <c r="U109">
        <f t="shared" si="45"/>
        <v>0.18889469126370489</v>
      </c>
      <c r="V109" s="132">
        <f t="shared" si="46"/>
        <v>4.724818659790504</v>
      </c>
      <c r="W109" s="271"/>
      <c r="X109" s="271"/>
      <c r="Y109" s="384"/>
      <c r="Z109">
        <f t="shared" si="36"/>
        <v>3.6910569105691056</v>
      </c>
    </row>
    <row r="110" spans="1:26" x14ac:dyDescent="0.25">
      <c r="B110" s="628"/>
      <c r="C110" s="657"/>
      <c r="D110" s="197" t="s">
        <v>120</v>
      </c>
      <c r="E110" s="199">
        <f>Weights!I108</f>
        <v>2.44</v>
      </c>
      <c r="F110" s="124">
        <f>Weights!M108</f>
        <v>0.62</v>
      </c>
      <c r="G110" s="204">
        <f t="shared" si="35"/>
        <v>74.590163934426229</v>
      </c>
      <c r="H110" s="273"/>
      <c r="I110">
        <f>Picogreen!AY56</f>
        <v>12.319681153846153</v>
      </c>
      <c r="J110" s="132">
        <f t="shared" si="30"/>
        <v>19.870453473945407</v>
      </c>
      <c r="K110">
        <f>DMMB!AY64</f>
        <v>203.03519999999992</v>
      </c>
      <c r="L110">
        <f t="shared" si="39"/>
        <v>16480.55639302103</v>
      </c>
      <c r="M110">
        <f t="shared" si="40"/>
        <v>327.47612903225792</v>
      </c>
      <c r="N110" s="79">
        <f>OHP!CY56</f>
        <v>101.83974917307951</v>
      </c>
      <c r="O110">
        <f t="shared" si="41"/>
        <v>8266.4273451010195</v>
      </c>
      <c r="P110" s="132">
        <f t="shared" si="42"/>
        <v>164.25765995657986</v>
      </c>
      <c r="Q110">
        <f>Rx!CA11</f>
        <v>1.98131479538317E-3</v>
      </c>
      <c r="R110">
        <f t="shared" si="43"/>
        <v>1.6082516833356615E-4</v>
      </c>
      <c r="S110" s="132">
        <f t="shared" si="44"/>
        <v>3.1956690248115646E-3</v>
      </c>
      <c r="T110">
        <f>Rx!CE11</f>
        <v>3.0901772812660697</v>
      </c>
      <c r="U110">
        <f t="shared" si="45"/>
        <v>0.2508325696644616</v>
      </c>
      <c r="V110" s="132">
        <f t="shared" si="46"/>
        <v>4.984156905267854</v>
      </c>
      <c r="W110" s="271"/>
      <c r="X110" s="271"/>
      <c r="Y110" s="384"/>
      <c r="Z110">
        <f t="shared" si="36"/>
        <v>3.935483870967742</v>
      </c>
    </row>
    <row r="111" spans="1:26" x14ac:dyDescent="0.25">
      <c r="B111" s="628"/>
      <c r="C111" s="658"/>
      <c r="D111" s="249" t="s">
        <v>121</v>
      </c>
      <c r="E111" s="250">
        <f>Weights!I109</f>
        <v>1.8999999999999997</v>
      </c>
      <c r="F111" s="77">
        <f>Weights!M109</f>
        <v>0.59333333333333327</v>
      </c>
      <c r="G111" s="247">
        <f t="shared" si="35"/>
        <v>68.771929824561397</v>
      </c>
      <c r="H111" s="286"/>
      <c r="I111" s="162">
        <f>Picogreen!AY57</f>
        <v>13.851331153846152</v>
      </c>
      <c r="J111" s="134">
        <f t="shared" si="30"/>
        <v>23.344940146931719</v>
      </c>
      <c r="K111" s="162">
        <f>DMMB!AY65</f>
        <v>203.03519999999992</v>
      </c>
      <c r="L111" s="162">
        <f t="shared" si="39"/>
        <v>14658.172398370705</v>
      </c>
      <c r="M111" s="162">
        <f t="shared" si="40"/>
        <v>342.19415730337067</v>
      </c>
      <c r="N111" s="138">
        <f>OHP!CY57</f>
        <v>86.33899630707954</v>
      </c>
      <c r="O111" s="162">
        <f t="shared" si="41"/>
        <v>6233.2634566393608</v>
      </c>
      <c r="P111" s="134">
        <f t="shared" si="42"/>
        <v>145.5151623153026</v>
      </c>
      <c r="Q111" s="162">
        <f>Rx!CA12</f>
        <v>3.5578448476235301E-3</v>
      </c>
      <c r="R111" s="162">
        <f t="shared" si="43"/>
        <v>2.5685941720017357E-4</v>
      </c>
      <c r="S111" s="134">
        <f t="shared" si="44"/>
        <v>5.9963677207138157E-3</v>
      </c>
      <c r="T111" s="162">
        <f>Rx!CE12</f>
        <v>4.38107391973044</v>
      </c>
      <c r="U111" s="162">
        <f t="shared" si="45"/>
        <v>0.31629262711793088</v>
      </c>
      <c r="V111" s="134">
        <f t="shared" si="46"/>
        <v>7.3838324489838882</v>
      </c>
      <c r="W111" s="281"/>
      <c r="X111" s="281"/>
      <c r="Y111" s="385"/>
      <c r="Z111">
        <f t="shared" si="36"/>
        <v>3.2022471910112356</v>
      </c>
    </row>
    <row r="112" spans="1:26" x14ac:dyDescent="0.25">
      <c r="B112" s="628"/>
      <c r="C112" s="657" t="s">
        <v>710</v>
      </c>
      <c r="D112" s="197" t="s">
        <v>46</v>
      </c>
      <c r="E112" s="124">
        <f>Weights!I114</f>
        <v>1.635</v>
      </c>
      <c r="F112" s="124">
        <f>Weights!M114</f>
        <v>0.54500000000000004</v>
      </c>
      <c r="G112" s="204">
        <f t="shared" si="35"/>
        <v>66.666666666666657</v>
      </c>
      <c r="H112" s="204">
        <f>'Alamar Blue - Analysis'!L36</f>
        <v>1.9285714285714288</v>
      </c>
      <c r="I112">
        <f>Picogreen!BN46</f>
        <v>23.304109</v>
      </c>
      <c r="J112" s="132">
        <f t="shared" si="30"/>
        <v>42.75983302752293</v>
      </c>
      <c r="K112">
        <f>DMMB!BN54</f>
        <v>303.20999999999981</v>
      </c>
      <c r="L112">
        <f t="shared" ref="L112:L115" si="47">K112*1000/I112</f>
        <v>13011.010204251956</v>
      </c>
      <c r="M112">
        <f t="shared" ref="M112:M115" si="48">K112/F112</f>
        <v>556.3486238532106</v>
      </c>
      <c r="N112" s="79"/>
      <c r="P112" s="132"/>
      <c r="Q112">
        <f>Rx!CM3</f>
        <v>3.3688689877000498E-4</v>
      </c>
      <c r="R112">
        <f t="shared" ref="R112" si="49">Q112/I112</f>
        <v>1.4456115819317743E-5</v>
      </c>
      <c r="S112" s="132">
        <f t="shared" ref="S112" si="50">Q112/F112</f>
        <v>6.1814109866055954E-4</v>
      </c>
      <c r="T112">
        <f>Rx!CQ3</f>
        <v>4.2344080073723704</v>
      </c>
      <c r="U112">
        <f t="shared" ref="U112" si="51">T112/I112</f>
        <v>0.18170220570854567</v>
      </c>
      <c r="V112" s="132">
        <f t="shared" ref="V112" si="52">T112/F112</f>
        <v>7.7695559768300368</v>
      </c>
      <c r="W112" s="271"/>
      <c r="X112" s="271"/>
      <c r="Y112" s="384"/>
    </row>
    <row r="113" spans="2:26" x14ac:dyDescent="0.25">
      <c r="B113" s="628"/>
      <c r="C113" s="657"/>
      <c r="D113" s="197" t="s">
        <v>44</v>
      </c>
      <c r="E113" s="124">
        <f>Weights!I115</f>
        <v>1.635</v>
      </c>
      <c r="F113" s="124">
        <f>Weights!M115</f>
        <v>0.53</v>
      </c>
      <c r="G113" s="204">
        <f t="shared" si="35"/>
        <v>67.584097859327215</v>
      </c>
      <c r="H113" s="204">
        <f>'Alamar Blue - Analysis'!L37</f>
        <v>1.9285714285714284</v>
      </c>
      <c r="I113">
        <f>Picogreen!BN47</f>
        <v>28.004353999999999</v>
      </c>
      <c r="J113" s="132">
        <f t="shared" si="30"/>
        <v>52.838403773584901</v>
      </c>
      <c r="K113">
        <f>DMMB!BN55</f>
        <v>294.53440000000012</v>
      </c>
      <c r="L113">
        <f t="shared" si="47"/>
        <v>10517.450250771724</v>
      </c>
      <c r="M113">
        <f t="shared" si="48"/>
        <v>555.72528301886814</v>
      </c>
      <c r="N113" s="79"/>
      <c r="P113" s="132"/>
      <c r="Q113">
        <f>Rx!CM4</f>
        <v>2.92125702429934E-4</v>
      </c>
      <c r="R113">
        <f t="shared" ref="R113:R115" si="53">Q113/I113</f>
        <v>1.0431438712349302E-5</v>
      </c>
      <c r="S113" s="132">
        <f t="shared" ref="S113:S115" si="54">Q113/F113</f>
        <v>5.5118057062251698E-4</v>
      </c>
      <c r="T113">
        <f>Rx!CQ4</f>
        <v>3.9794329015521002</v>
      </c>
      <c r="U113">
        <f t="shared" ref="U113:U115" si="55">T113/I113</f>
        <v>0.14210050699802254</v>
      </c>
      <c r="V113" s="132">
        <f t="shared" ref="V113:V115" si="56">T113/F113</f>
        <v>7.5083639651926415</v>
      </c>
      <c r="W113" s="271"/>
      <c r="X113" s="271"/>
      <c r="Y113" s="384"/>
    </row>
    <row r="114" spans="2:26" x14ac:dyDescent="0.25">
      <c r="B114" s="628"/>
      <c r="C114" s="657"/>
      <c r="D114" s="197" t="s">
        <v>45</v>
      </c>
      <c r="E114" s="124">
        <f>Weights!I116</f>
        <v>1.415</v>
      </c>
      <c r="F114" s="124">
        <f>Weights!M116</f>
        <v>0.48499999999999999</v>
      </c>
      <c r="G114" s="204">
        <f t="shared" si="35"/>
        <v>65.724381625441694</v>
      </c>
      <c r="H114" s="204">
        <f>'Alamar Blue - Analysis'!L38</f>
        <v>1.6516483516483516</v>
      </c>
      <c r="I114">
        <f>Picogreen!BN48</f>
        <v>23.731403999999998</v>
      </c>
      <c r="J114" s="132">
        <f t="shared" si="30"/>
        <v>48.930729896907216</v>
      </c>
      <c r="K114">
        <f>DMMB!BN56</f>
        <v>262.00089999999989</v>
      </c>
      <c r="L114">
        <f t="shared" si="47"/>
        <v>11040.261250451085</v>
      </c>
      <c r="M114">
        <f t="shared" si="48"/>
        <v>540.20804123711321</v>
      </c>
      <c r="N114" s="79"/>
      <c r="P114" s="132"/>
      <c r="Q114">
        <f>Rx!CM5</f>
        <v>2.0495916218874399E-4</v>
      </c>
      <c r="R114">
        <f t="shared" si="53"/>
        <v>8.6366218445711853E-6</v>
      </c>
      <c r="S114" s="132">
        <f t="shared" si="54"/>
        <v>4.2259621069844124E-4</v>
      </c>
      <c r="T114">
        <f>Rx!CQ5</f>
        <v>1.6755506953903601</v>
      </c>
      <c r="U114">
        <f t="shared" si="55"/>
        <v>7.0604785767852604E-2</v>
      </c>
      <c r="V114" s="132">
        <f t="shared" si="56"/>
        <v>3.454743701835794</v>
      </c>
      <c r="W114" s="271"/>
      <c r="X114" s="271"/>
      <c r="Y114" s="384"/>
    </row>
    <row r="115" spans="2:26" x14ac:dyDescent="0.25">
      <c r="B115" s="628"/>
      <c r="C115" s="657"/>
      <c r="D115" s="197" t="s">
        <v>47</v>
      </c>
      <c r="E115" s="124">
        <f>Weights!I117</f>
        <v>1.3699999999999999</v>
      </c>
      <c r="F115" s="124">
        <f>Weights!M117</f>
        <v>0.45499999999999996</v>
      </c>
      <c r="G115" s="204">
        <f t="shared" si="35"/>
        <v>66.788321167883211</v>
      </c>
      <c r="H115" s="204">
        <f>'Alamar Blue - Analysis'!L39</f>
        <v>1.898901098901099</v>
      </c>
      <c r="I115">
        <f>Picogreen!BN49</f>
        <v>29.286239000000002</v>
      </c>
      <c r="J115" s="132">
        <f t="shared" si="30"/>
        <v>64.365360439560448</v>
      </c>
      <c r="K115">
        <f>DMMB!BN57</f>
        <v>331.40569999999997</v>
      </c>
      <c r="L115">
        <f t="shared" si="47"/>
        <v>11316.089443919376</v>
      </c>
      <c r="M115">
        <f t="shared" si="48"/>
        <v>728.36417582417585</v>
      </c>
      <c r="N115" s="79"/>
      <c r="P115" s="132"/>
      <c r="Q115">
        <f>Rx!CM6</f>
        <v>2.8898456584466599E-4</v>
      </c>
      <c r="R115">
        <f t="shared" si="53"/>
        <v>9.8675888646768865E-6</v>
      </c>
      <c r="S115" s="132">
        <f t="shared" si="54"/>
        <v>6.3513091394432086E-4</v>
      </c>
      <c r="T115">
        <f>Rx!CQ6</f>
        <v>3.7882015721869</v>
      </c>
      <c r="U115">
        <f t="shared" si="55"/>
        <v>0.12935090682647574</v>
      </c>
      <c r="V115" s="132">
        <f t="shared" si="56"/>
        <v>8.3257177410701111</v>
      </c>
      <c r="W115" s="271"/>
      <c r="X115" s="271"/>
      <c r="Y115" s="384"/>
    </row>
    <row r="116" spans="2:26" ht="15.75" thickBot="1" x14ac:dyDescent="0.3">
      <c r="B116" s="629"/>
      <c r="C116" s="636"/>
      <c r="D116" s="197" t="s">
        <v>48</v>
      </c>
      <c r="E116" s="124">
        <f>Weights!I118</f>
        <v>1.6133333333333333</v>
      </c>
      <c r="F116" s="124"/>
      <c r="G116" s="204"/>
      <c r="H116" s="204">
        <f>'Alamar Blue - Analysis'!L40</f>
        <v>1.9582417582417582</v>
      </c>
      <c r="J116" s="132"/>
      <c r="N116" s="79"/>
      <c r="P116" s="132"/>
      <c r="S116" s="132"/>
      <c r="V116" s="132"/>
      <c r="W116" s="271"/>
      <c r="X116" s="271"/>
      <c r="Y116" s="384"/>
    </row>
    <row r="117" spans="2:26" x14ac:dyDescent="0.25">
      <c r="B117" s="627" t="s">
        <v>144</v>
      </c>
      <c r="C117" s="638" t="s">
        <v>113</v>
      </c>
      <c r="D117" s="196" t="s">
        <v>46</v>
      </c>
      <c r="E117" s="212">
        <f>Weights!I44</f>
        <v>1.34</v>
      </c>
      <c r="F117" s="212">
        <f>Weights!M44</f>
        <v>0.3666666666666667</v>
      </c>
      <c r="G117" s="205">
        <f t="shared" si="35"/>
        <v>72.636815920398007</v>
      </c>
      <c r="H117" s="205">
        <f>'Alamar Blue - Analysis'!L27</f>
        <v>2.6256983240223462</v>
      </c>
      <c r="I117" s="8">
        <f>Picogreen!U58</f>
        <v>29.501235714285713</v>
      </c>
      <c r="J117" s="202">
        <f>I117/F117</f>
        <v>80.457915584415574</v>
      </c>
      <c r="K117" s="8">
        <f>DMMB!U66</f>
        <v>184.42399999999992</v>
      </c>
      <c r="L117" s="8">
        <f t="shared" si="39"/>
        <v>6251.3991544664086</v>
      </c>
      <c r="M117" s="8">
        <f t="shared" si="40"/>
        <v>502.97454545454519</v>
      </c>
      <c r="N117" s="251">
        <f>OHP!AM58</f>
        <v>62.735071884136353</v>
      </c>
      <c r="O117" s="8">
        <f t="shared" si="41"/>
        <v>2126.5235291061877</v>
      </c>
      <c r="P117" s="202">
        <f t="shared" si="42"/>
        <v>171.09565059309912</v>
      </c>
      <c r="Q117" s="8">
        <f>Rx!G9</f>
        <v>1.5306787200865578E-3</v>
      </c>
      <c r="R117" s="8">
        <f t="shared" si="43"/>
        <v>5.1885240839092723E-5</v>
      </c>
      <c r="S117" s="202">
        <f t="shared" si="44"/>
        <v>4.1745783275087935E-3</v>
      </c>
      <c r="T117" s="8">
        <f>Rx!K9</f>
        <v>1.5932451150469624</v>
      </c>
      <c r="U117" s="8">
        <f t="shared" si="45"/>
        <v>5.4006046745880804E-2</v>
      </c>
      <c r="V117" s="202">
        <f t="shared" si="46"/>
        <v>4.3452139501280787</v>
      </c>
      <c r="W117" s="279"/>
      <c r="X117" s="279"/>
      <c r="Y117" s="400"/>
      <c r="Z117">
        <f t="shared" si="36"/>
        <v>3.6545454545454543</v>
      </c>
    </row>
    <row r="118" spans="2:26" x14ac:dyDescent="0.25">
      <c r="B118" s="628"/>
      <c r="C118" s="696"/>
      <c r="D118" s="198" t="s">
        <v>44</v>
      </c>
      <c r="E118" s="124">
        <f>Weights!I45</f>
        <v>1.5599999999999998</v>
      </c>
      <c r="F118" s="124">
        <f>Weights!M45</f>
        <v>0.45500000000000002</v>
      </c>
      <c r="G118" s="204">
        <f t="shared" si="35"/>
        <v>70.833333333333329</v>
      </c>
      <c r="H118" s="273"/>
      <c r="I118" s="271"/>
      <c r="J118" s="272"/>
      <c r="K118" s="271"/>
      <c r="L118" s="271"/>
      <c r="M118" s="271"/>
      <c r="N118" s="274"/>
      <c r="O118" s="271"/>
      <c r="P118" s="272"/>
      <c r="Q118" s="271"/>
      <c r="R118" s="271"/>
      <c r="S118" s="272"/>
      <c r="T118" s="271"/>
      <c r="U118" s="271"/>
      <c r="V118" s="272"/>
      <c r="W118" s="271"/>
      <c r="X118" s="271"/>
      <c r="Y118" s="384"/>
      <c r="Z118">
        <f t="shared" si="36"/>
        <v>3.4285714285714279</v>
      </c>
    </row>
    <row r="119" spans="2:26" x14ac:dyDescent="0.25">
      <c r="B119" s="628"/>
      <c r="C119" s="696"/>
      <c r="D119" s="197" t="s">
        <v>45</v>
      </c>
      <c r="E119" s="124">
        <f>Weights!I46</f>
        <v>1.7349999999999999</v>
      </c>
      <c r="F119" s="124">
        <f>Weights!M46</f>
        <v>0.47499999999999998</v>
      </c>
      <c r="G119" s="204">
        <f t="shared" si="35"/>
        <v>72.622478386167145</v>
      </c>
      <c r="H119" s="204">
        <f>'Alamar Blue - Analysis'!L29</f>
        <v>1.8491620111731844</v>
      </c>
      <c r="I119">
        <f>Picogreen!U60</f>
        <v>24.864885714285712</v>
      </c>
      <c r="J119" s="132">
        <f>I119/F119</f>
        <v>52.347127819548874</v>
      </c>
      <c r="K119">
        <f>DMMB!U68</f>
        <v>169.92699999999999</v>
      </c>
      <c r="L119">
        <f>K119*1000/I119</f>
        <v>6834.014921788731</v>
      </c>
      <c r="M119">
        <f>K119/F119</f>
        <v>357.74105263157895</v>
      </c>
      <c r="N119" s="79">
        <f>OHP!AM60</f>
        <v>78.091179000136364</v>
      </c>
      <c r="O119">
        <f>(N119*1000)/I119</f>
        <v>3140.6208698264945</v>
      </c>
      <c r="P119" s="132">
        <f>N119/F119</f>
        <v>164.40248210555023</v>
      </c>
      <c r="Q119">
        <f>Rx!G11</f>
        <v>3.002485181708248E-4</v>
      </c>
      <c r="R119">
        <f>Q119/I119</f>
        <v>1.2075202018657256E-5</v>
      </c>
      <c r="S119" s="132">
        <f>Q119/F119</f>
        <v>6.3210214351752593E-4</v>
      </c>
      <c r="T119">
        <f>Rx!K11</f>
        <v>0.10971448397029981</v>
      </c>
      <c r="U119">
        <f>T119/I119</f>
        <v>4.4124266337273029E-3</v>
      </c>
      <c r="V119" s="132">
        <f>T119/F119</f>
        <v>0.23097786099010489</v>
      </c>
      <c r="W119" s="271"/>
      <c r="X119" s="271"/>
      <c r="Y119" s="384"/>
      <c r="Z119">
        <f t="shared" si="36"/>
        <v>3.6526315789473682</v>
      </c>
    </row>
    <row r="120" spans="2:26" x14ac:dyDescent="0.25">
      <c r="B120" s="628"/>
      <c r="C120" s="697"/>
      <c r="D120" s="249" t="s">
        <v>47</v>
      </c>
      <c r="E120" s="77">
        <f>Weights!I47</f>
        <v>1.41</v>
      </c>
      <c r="F120" s="77">
        <f>Weights!M47</f>
        <v>0.435</v>
      </c>
      <c r="G120" s="247">
        <f t="shared" si="35"/>
        <v>69.148936170212764</v>
      </c>
      <c r="H120" s="247">
        <f>'Alamar Blue - Analysis'!L30</f>
        <v>2.441340782122905</v>
      </c>
      <c r="I120" s="162">
        <f>Picogreen!U61</f>
        <v>40.834535714285707</v>
      </c>
      <c r="J120" s="134">
        <f>I120/F120</f>
        <v>93.872495894909676</v>
      </c>
      <c r="K120" s="162">
        <f>DMMB!U69</f>
        <v>194.77900000000005</v>
      </c>
      <c r="L120" s="162">
        <f>K120*1000/I120</f>
        <v>4769.9575027091059</v>
      </c>
      <c r="M120" s="162">
        <f>K120/F120</f>
        <v>447.76781609195416</v>
      </c>
      <c r="N120" s="138">
        <f>OHP!AM61</f>
        <v>74.281017084136366</v>
      </c>
      <c r="O120" s="162">
        <f>(N120*1000)/I120</f>
        <v>1819.0733844477047</v>
      </c>
      <c r="P120" s="134">
        <f>N120/F120</f>
        <v>170.7609588141066</v>
      </c>
      <c r="Q120" s="162">
        <f>Rx!G12</f>
        <v>1.0479262006746436E-3</v>
      </c>
      <c r="R120" s="162">
        <f>Q120/I120</f>
        <v>2.5662743125252021E-5</v>
      </c>
      <c r="S120" s="134">
        <f>Q120/F120</f>
        <v>2.4090257486773414E-3</v>
      </c>
      <c r="T120" s="162">
        <f>Rx!K12</f>
        <v>1.0112813305088504</v>
      </c>
      <c r="U120" s="162">
        <f>T120/I120</f>
        <v>2.4765344158304215E-2</v>
      </c>
      <c r="V120" s="134">
        <f>T120/F120</f>
        <v>2.3247846678364379</v>
      </c>
      <c r="W120" s="281"/>
      <c r="X120" s="281"/>
      <c r="Y120" s="385"/>
      <c r="Z120">
        <f t="shared" si="36"/>
        <v>3.2413793103448274</v>
      </c>
    </row>
    <row r="121" spans="2:26" x14ac:dyDescent="0.25">
      <c r="B121" s="628"/>
      <c r="C121" s="692" t="s">
        <v>154</v>
      </c>
      <c r="D121" s="387" t="s">
        <v>117</v>
      </c>
      <c r="E121" s="391">
        <f>Weights!I82</f>
        <v>2.0499999999999998</v>
      </c>
      <c r="F121" s="391">
        <f>Weights!M82</f>
        <v>0.52666666666666673</v>
      </c>
      <c r="G121" s="389">
        <f t="shared" si="35"/>
        <v>74.308943089430898</v>
      </c>
      <c r="H121" s="389">
        <f>'Alamar Blue - Analysis'!L32</f>
        <v>1.802139037433155</v>
      </c>
      <c r="I121" s="268">
        <f>Picogreen!AJ61</f>
        <v>18.121069999999996</v>
      </c>
      <c r="J121" s="133">
        <f t="shared" ref="J121:J137" si="57">I121/F121</f>
        <v>34.407094936708852</v>
      </c>
      <c r="K121" s="268">
        <f>DMMB!AJ69</f>
        <v>235.13519999999986</v>
      </c>
      <c r="L121" s="268">
        <f t="shared" ref="L121:L127" si="58">K121*1000/I121</f>
        <v>12975.790060962179</v>
      </c>
      <c r="M121" s="268">
        <f t="shared" ref="M121:M127" si="59">K121/F121</f>
        <v>446.4592405063288</v>
      </c>
      <c r="N121" s="163">
        <f>OHP!CI51</f>
        <v>90.477149096889207</v>
      </c>
      <c r="O121" s="268">
        <f t="shared" ref="O121:O127" si="60">(N121*1000)/I121</f>
        <v>4992.9253127375605</v>
      </c>
      <c r="P121" s="133">
        <f t="shared" ref="P121:P127" si="61">N121/F121</f>
        <v>171.79205524725796</v>
      </c>
      <c r="Q121" s="268">
        <f>Rx!AI29</f>
        <v>1.8643014607627143E-3</v>
      </c>
      <c r="R121" s="268">
        <f>Q121/I121</f>
        <v>1.0288031891950722E-4</v>
      </c>
      <c r="S121" s="133">
        <f>Q121/F121</f>
        <v>3.5398129001823686E-3</v>
      </c>
      <c r="T121" s="268">
        <f>Rx!AX29</f>
        <v>2.1140802841041015</v>
      </c>
      <c r="U121" s="268">
        <f>T121/I121</f>
        <v>0.11666420824510373</v>
      </c>
      <c r="V121" s="133">
        <f>T121/F121</f>
        <v>4.014076488805256</v>
      </c>
      <c r="W121" s="392"/>
      <c r="X121" s="392"/>
      <c r="Y121" s="401"/>
      <c r="Z121">
        <f t="shared" si="36"/>
        <v>3.8924050632911387</v>
      </c>
    </row>
    <row r="122" spans="2:26" x14ac:dyDescent="0.25">
      <c r="B122" s="628"/>
      <c r="C122" s="693"/>
      <c r="D122" s="197" t="s">
        <v>118</v>
      </c>
      <c r="E122" s="124">
        <f>Weights!I83</f>
        <v>1.89</v>
      </c>
      <c r="F122" s="124">
        <f>Weights!M83</f>
        <v>0.47</v>
      </c>
      <c r="G122" s="204">
        <f t="shared" si="35"/>
        <v>75.13227513227514</v>
      </c>
      <c r="H122" s="204">
        <f>'Alamar Blue - Analysis'!L33</f>
        <v>2.6149732620320854</v>
      </c>
      <c r="I122">
        <f>Picogreen!AJ62</f>
        <v>23.251029999999997</v>
      </c>
      <c r="J122" s="132">
        <f t="shared" si="57"/>
        <v>49.470276595744679</v>
      </c>
      <c r="K122">
        <f>DMMB!AJ70</f>
        <v>112.98509999999993</v>
      </c>
      <c r="L122">
        <f t="shared" si="58"/>
        <v>4859.3589187231682</v>
      </c>
      <c r="M122">
        <f t="shared" si="59"/>
        <v>240.3938297872339</v>
      </c>
      <c r="N122" s="79">
        <f>OHP!CI52</f>
        <v>64.762827231451709</v>
      </c>
      <c r="O122">
        <f t="shared" si="60"/>
        <v>2785.3745503511768</v>
      </c>
      <c r="P122" s="132">
        <f t="shared" si="61"/>
        <v>137.79324942862067</v>
      </c>
      <c r="Q122">
        <f>Rx!AI30</f>
        <v>1.7586325520555159E-3</v>
      </c>
      <c r="R122">
        <f>Q122/I122</f>
        <v>7.5636758976076166E-5</v>
      </c>
      <c r="S122" s="132">
        <f>Q122/F122</f>
        <v>3.7417713873521617E-3</v>
      </c>
      <c r="T122">
        <f>Rx!AX30</f>
        <v>1.8028704960887774</v>
      </c>
      <c r="U122">
        <f>T122/I122</f>
        <v>7.7539381958080036E-2</v>
      </c>
      <c r="V122" s="132">
        <f>T122/F122</f>
        <v>3.8358946725293137</v>
      </c>
      <c r="W122" s="271"/>
      <c r="X122" s="271"/>
      <c r="Y122" s="384"/>
      <c r="Z122">
        <f t="shared" si="36"/>
        <v>4.0212765957446805</v>
      </c>
    </row>
    <row r="123" spans="2:26" x14ac:dyDescent="0.25">
      <c r="B123" s="628"/>
      <c r="C123" s="693"/>
      <c r="D123" s="197" t="s">
        <v>122</v>
      </c>
      <c r="E123" s="124">
        <f>Weights!I84</f>
        <v>1.92</v>
      </c>
      <c r="F123" s="124">
        <f>Weights!M84</f>
        <v>0.51</v>
      </c>
      <c r="G123" s="204">
        <f t="shared" si="35"/>
        <v>73.4375</v>
      </c>
      <c r="H123" s="273"/>
      <c r="I123">
        <f>Picogreen!AJ63</f>
        <v>26.981909999999999</v>
      </c>
      <c r="J123" s="132">
        <f t="shared" si="57"/>
        <v>52.90570588235294</v>
      </c>
      <c r="K123">
        <f>DMMB!AJ71</f>
        <v>184.83810000000005</v>
      </c>
      <c r="L123">
        <f t="shared" si="58"/>
        <v>6850.4453539426995</v>
      </c>
      <c r="M123">
        <f t="shared" si="59"/>
        <v>362.42764705882365</v>
      </c>
      <c r="N123" s="79">
        <f>OHP!CI46</f>
        <v>94.601405241076719</v>
      </c>
      <c r="O123">
        <f t="shared" si="60"/>
        <v>3506.1048399122492</v>
      </c>
      <c r="P123" s="132">
        <f t="shared" si="61"/>
        <v>185.49295145309159</v>
      </c>
      <c r="Q123" s="271"/>
      <c r="R123" s="271"/>
      <c r="S123" s="272"/>
      <c r="T123" s="271"/>
      <c r="U123" s="271"/>
      <c r="V123" s="272"/>
      <c r="W123">
        <f>Rx!BM34</f>
        <v>1.2878512255096244E-2</v>
      </c>
      <c r="X123">
        <f>W123/I123</f>
        <v>4.7730172753138102E-4</v>
      </c>
      <c r="Y123" s="4">
        <f>W123/F123</f>
        <v>2.5251984813914205E-2</v>
      </c>
      <c r="Z123">
        <f t="shared" si="36"/>
        <v>3.7647058823529411</v>
      </c>
    </row>
    <row r="124" spans="2:26" x14ac:dyDescent="0.25">
      <c r="B124" s="628"/>
      <c r="C124" s="693"/>
      <c r="D124" s="197" t="s">
        <v>123</v>
      </c>
      <c r="E124" s="124">
        <f>Weights!I85</f>
        <v>2.186666666666667</v>
      </c>
      <c r="F124" s="124">
        <f>Weights!M85</f>
        <v>0.61499999999999999</v>
      </c>
      <c r="G124" s="204">
        <f t="shared" si="35"/>
        <v>71.875</v>
      </c>
      <c r="H124" s="273"/>
      <c r="I124">
        <f>Picogreen!AJ64</f>
        <v>34.443669999999997</v>
      </c>
      <c r="J124" s="132">
        <f t="shared" si="57"/>
        <v>56.005967479674794</v>
      </c>
      <c r="K124">
        <f>DMMB!AJ72</f>
        <v>201.60379999999975</v>
      </c>
      <c r="L124">
        <f t="shared" si="58"/>
        <v>5853.1451497473927</v>
      </c>
      <c r="M124">
        <f t="shared" si="59"/>
        <v>327.81105691056871</v>
      </c>
      <c r="N124" s="79">
        <f>OHP!CI47</f>
        <v>130.11429539538921</v>
      </c>
      <c r="O124">
        <f t="shared" si="60"/>
        <v>3777.5967367992207</v>
      </c>
      <c r="P124" s="132">
        <f t="shared" si="61"/>
        <v>211.56795999250278</v>
      </c>
      <c r="Q124" s="271"/>
      <c r="R124" s="271"/>
      <c r="S124" s="272"/>
      <c r="T124" s="271"/>
      <c r="U124" s="271"/>
      <c r="V124" s="272"/>
      <c r="W124">
        <f>Rx!BM35</f>
        <v>3.1056316634299079E-2</v>
      </c>
      <c r="X124">
        <f>W124/I124</f>
        <v>9.0165527176108359E-4</v>
      </c>
      <c r="Y124" s="4">
        <f>W124/F124</f>
        <v>5.0498075828128583E-2</v>
      </c>
      <c r="Z124">
        <f t="shared" si="36"/>
        <v>3.5555555555555562</v>
      </c>
    </row>
    <row r="125" spans="2:26" x14ac:dyDescent="0.25">
      <c r="B125" s="628"/>
      <c r="C125" s="693"/>
      <c r="D125" s="197" t="s">
        <v>124</v>
      </c>
      <c r="E125" s="124">
        <f>Weights!I86</f>
        <v>2.5649999999999999</v>
      </c>
      <c r="F125" s="124">
        <f>Weights!M86</f>
        <v>0.66</v>
      </c>
      <c r="G125" s="204">
        <f t="shared" si="35"/>
        <v>74.26900584795321</v>
      </c>
      <c r="H125" s="273"/>
      <c r="I125">
        <f>Picogreen!AJ65</f>
        <v>32.111869999999996</v>
      </c>
      <c r="J125" s="132">
        <f t="shared" si="57"/>
        <v>48.654348484848477</v>
      </c>
      <c r="K125">
        <f>DMMB!AJ73</f>
        <v>239.92539999999991</v>
      </c>
      <c r="L125">
        <f t="shared" si="58"/>
        <v>7471.5486827768027</v>
      </c>
      <c r="M125">
        <f t="shared" si="59"/>
        <v>363.5233333333332</v>
      </c>
      <c r="N125" s="79">
        <f>OHP!CI48</f>
        <v>122.47473367863918</v>
      </c>
      <c r="O125">
        <f t="shared" si="60"/>
        <v>3814.0019151372749</v>
      </c>
      <c r="P125" s="132">
        <f t="shared" si="61"/>
        <v>185.56777830096846</v>
      </c>
      <c r="Q125" s="271"/>
      <c r="R125" s="271"/>
      <c r="S125" s="272"/>
      <c r="T125" s="271"/>
      <c r="U125" s="271"/>
      <c r="V125" s="272"/>
      <c r="W125">
        <f>Rx!BM36</f>
        <v>4.2394336992852714E-2</v>
      </c>
      <c r="X125">
        <f>W125/I125</f>
        <v>1.3202076675339282E-3</v>
      </c>
      <c r="Y125" s="4">
        <f>W125/F125</f>
        <v>6.423384392856471E-2</v>
      </c>
      <c r="Z125">
        <f t="shared" si="36"/>
        <v>3.8863636363636362</v>
      </c>
    </row>
    <row r="126" spans="2:26" x14ac:dyDescent="0.25">
      <c r="B126" s="628"/>
      <c r="C126" s="693"/>
      <c r="D126" s="197" t="s">
        <v>125</v>
      </c>
      <c r="E126" s="124">
        <f>Weights!I87</f>
        <v>2.3066666666666666</v>
      </c>
      <c r="F126" s="124">
        <f>Weights!M87</f>
        <v>0.65</v>
      </c>
      <c r="G126" s="204">
        <f t="shared" si="35"/>
        <v>71.820809248554909</v>
      </c>
      <c r="H126" s="273"/>
      <c r="I126">
        <f>Picogreen!AJ66</f>
        <v>26.515549999999998</v>
      </c>
      <c r="J126" s="132">
        <f t="shared" si="57"/>
        <v>40.793153846153842</v>
      </c>
      <c r="K126">
        <f>DMMB!AJ74</f>
        <v>263.87639999999988</v>
      </c>
      <c r="L126">
        <f t="shared" si="58"/>
        <v>9951.7603821153953</v>
      </c>
      <c r="M126">
        <f t="shared" si="59"/>
        <v>405.9636923076921</v>
      </c>
      <c r="N126" s="79">
        <f>OHP!CI49</f>
        <v>53.774037370764212</v>
      </c>
      <c r="O126">
        <f t="shared" si="60"/>
        <v>2028.0189311843133</v>
      </c>
      <c r="P126" s="132">
        <f t="shared" si="61"/>
        <v>82.729288262714164</v>
      </c>
      <c r="Q126" s="271"/>
      <c r="R126" s="271"/>
      <c r="S126" s="272"/>
      <c r="T126" s="271"/>
      <c r="U126" s="271"/>
      <c r="V126" s="272"/>
      <c r="W126">
        <f>Rx!BM37</f>
        <v>2.2429562013660444E-2</v>
      </c>
      <c r="X126">
        <f>W126/I126</f>
        <v>8.4590219752788255E-4</v>
      </c>
      <c r="Y126" s="4">
        <f>W126/F126</f>
        <v>3.4507018482554531E-2</v>
      </c>
      <c r="Z126">
        <f t="shared" si="36"/>
        <v>3.5487179487179485</v>
      </c>
    </row>
    <row r="127" spans="2:26" x14ac:dyDescent="0.25">
      <c r="B127" s="628"/>
      <c r="C127" s="694"/>
      <c r="D127" s="249" t="s">
        <v>126</v>
      </c>
      <c r="E127" s="77">
        <f>Weights!I88</f>
        <v>1.9633333333333332</v>
      </c>
      <c r="F127" s="77">
        <f>Weights!M88</f>
        <v>0.52</v>
      </c>
      <c r="G127" s="247">
        <f t="shared" si="35"/>
        <v>73.514431239388784</v>
      </c>
      <c r="H127" s="286"/>
      <c r="I127" s="162">
        <f>Picogreen!AJ67</f>
        <v>19.053789999999999</v>
      </c>
      <c r="J127" s="134">
        <f t="shared" si="57"/>
        <v>36.641903846153845</v>
      </c>
      <c r="K127" s="162">
        <f>DMMB!AJ75</f>
        <v>235.13519999999986</v>
      </c>
      <c r="L127" s="162">
        <f t="shared" si="58"/>
        <v>12340.599954129853</v>
      </c>
      <c r="M127" s="162">
        <f t="shared" si="59"/>
        <v>452.18307692307661</v>
      </c>
      <c r="N127" s="138">
        <f>OHP!CI50</f>
        <v>86.657368238514195</v>
      </c>
      <c r="O127" s="162">
        <f t="shared" si="60"/>
        <v>4548.0383817872562</v>
      </c>
      <c r="P127" s="134">
        <f t="shared" si="61"/>
        <v>166.64878507406576</v>
      </c>
      <c r="Q127" s="281"/>
      <c r="R127" s="281"/>
      <c r="S127" s="282"/>
      <c r="T127" s="281"/>
      <c r="U127" s="281"/>
      <c r="V127" s="282"/>
      <c r="W127" s="162">
        <f>Rx!BM38</f>
        <v>1.2755272903372835E-2</v>
      </c>
      <c r="X127" s="162">
        <f>W127/I127</f>
        <v>6.6943494724004172E-4</v>
      </c>
      <c r="Y127" s="165">
        <f>W127/F127</f>
        <v>2.452937096802468E-2</v>
      </c>
      <c r="Z127">
        <f t="shared" si="36"/>
        <v>3.7756410256410251</v>
      </c>
    </row>
    <row r="128" spans="2:26" x14ac:dyDescent="0.25">
      <c r="B128" s="628"/>
      <c r="C128" s="695" t="s">
        <v>210</v>
      </c>
      <c r="D128" s="387" t="s">
        <v>117</v>
      </c>
      <c r="E128" s="391">
        <f>Weights!I111</f>
        <v>1.855</v>
      </c>
      <c r="F128" s="391">
        <f>Weights!M111</f>
        <v>0.53500000000000003</v>
      </c>
      <c r="G128" s="389">
        <f t="shared" si="35"/>
        <v>71.159029649595681</v>
      </c>
      <c r="H128" s="390"/>
      <c r="I128" s="268">
        <f>Picogreen!AY59</f>
        <v>13.851331153846152</v>
      </c>
      <c r="J128" s="133">
        <f t="shared" si="57"/>
        <v>25.890338605319908</v>
      </c>
      <c r="K128" s="268">
        <f>DMMB!AY67</f>
        <v>224.86120000000057</v>
      </c>
      <c r="L128" s="268">
        <f>K128*1000/I128</f>
        <v>16233.905427751071</v>
      </c>
      <c r="M128" s="268">
        <f>K128/F128</f>
        <v>420.30130841121598</v>
      </c>
      <c r="N128" s="163">
        <f>OHP!CY58</f>
        <v>85.630628568579525</v>
      </c>
      <c r="O128" s="268">
        <f>(N128*1000)/I128</f>
        <v>6182.1226868005497</v>
      </c>
      <c r="P128" s="133">
        <f>N128/F128</f>
        <v>160.0572496608963</v>
      </c>
      <c r="Q128" s="268">
        <f>Rx!CA14</f>
        <v>3.0039288833228601E-3</v>
      </c>
      <c r="R128" s="268">
        <f>Q128/I128</f>
        <v>2.1686932829475728E-4</v>
      </c>
      <c r="S128" s="133">
        <f>Q128/F128</f>
        <v>5.6148203426595513E-3</v>
      </c>
      <c r="T128" s="268">
        <f>Rx!CE14</f>
        <v>0.20933459002124999</v>
      </c>
      <c r="U128" s="268">
        <f>T128/I128</f>
        <v>1.5112958292324364E-2</v>
      </c>
      <c r="V128" s="133">
        <f>T128/F128</f>
        <v>0.3912796075163551</v>
      </c>
      <c r="W128" s="392"/>
      <c r="X128" s="392"/>
      <c r="Y128" s="401"/>
      <c r="Z128">
        <f t="shared" si="36"/>
        <v>3.4672897196261681</v>
      </c>
    </row>
    <row r="129" spans="2:26" x14ac:dyDescent="0.25">
      <c r="B129" s="628"/>
      <c r="C129" s="696"/>
      <c r="D129" s="437" t="s">
        <v>118</v>
      </c>
      <c r="E129" s="124">
        <f>Weights!I112</f>
        <v>1.8733333333333333</v>
      </c>
      <c r="F129" s="124">
        <f>Weights!M112</f>
        <v>0.51666666666666661</v>
      </c>
      <c r="G129" s="204">
        <f t="shared" si="35"/>
        <v>72.419928825622776</v>
      </c>
      <c r="H129" s="273"/>
      <c r="I129">
        <f>Picogreen!AY60</f>
        <v>5.8867511538461539</v>
      </c>
      <c r="J129" s="132">
        <f t="shared" si="57"/>
        <v>11.393711910669976</v>
      </c>
      <c r="K129">
        <f>DMMB!AY68</f>
        <v>183.39180000000013</v>
      </c>
      <c r="L129">
        <f>K129*1000/I129</f>
        <v>31153.312787848983</v>
      </c>
      <c r="M129">
        <f>K129/F129</f>
        <v>354.95187096774225</v>
      </c>
      <c r="N129" s="79">
        <f>OHP!CY59</f>
        <v>75.546805467579517</v>
      </c>
      <c r="O129">
        <f>(N129*1000)/I129</f>
        <v>12833.361474473137</v>
      </c>
      <c r="P129" s="132">
        <f>N129/F129</f>
        <v>146.21962348563778</v>
      </c>
      <c r="Q129">
        <f>Rx!CA15</f>
        <v>2.9826244231574502E-3</v>
      </c>
      <c r="R129">
        <f>Q129/I129</f>
        <v>5.0666731873127166E-4</v>
      </c>
      <c r="S129" s="132">
        <f>Q129/F129</f>
        <v>5.7728214641757109E-3</v>
      </c>
      <c r="T129">
        <f>Rx!CE15</f>
        <v>0.229271217642321</v>
      </c>
      <c r="U129">
        <f>T129/I129</f>
        <v>3.8946986487194198E-2</v>
      </c>
      <c r="V129" s="132">
        <f>T129/F129</f>
        <v>0.44375074382384716</v>
      </c>
      <c r="W129" s="271"/>
      <c r="X129" s="271"/>
      <c r="Y129" s="384"/>
      <c r="Z129">
        <f t="shared" si="36"/>
        <v>3.6258064516129034</v>
      </c>
    </row>
    <row r="130" spans="2:26" x14ac:dyDescent="0.25">
      <c r="B130" s="628"/>
      <c r="C130" s="696"/>
      <c r="D130" s="437" t="s">
        <v>119</v>
      </c>
      <c r="E130" s="124">
        <f>Weights!I113</f>
        <v>1.74</v>
      </c>
      <c r="F130" s="124">
        <f>Weights!M113</f>
        <v>0.52500000000000002</v>
      </c>
      <c r="G130" s="204">
        <f t="shared" si="35"/>
        <v>69.827586206896555</v>
      </c>
      <c r="H130" s="273"/>
      <c r="I130">
        <f>Picogreen!AY61</f>
        <v>7.418401153846153</v>
      </c>
      <c r="J130" s="132">
        <f t="shared" si="57"/>
        <v>14.13028791208791</v>
      </c>
      <c r="K130">
        <f>DMMB!AY69</f>
        <v>198.6699999999999</v>
      </c>
      <c r="L130">
        <f>K130*1000/I130</f>
        <v>26780.703264745564</v>
      </c>
      <c r="M130">
        <f>K130/F130</f>
        <v>378.41904761904743</v>
      </c>
      <c r="N130" s="79">
        <f>OHP!CY60</f>
        <v>72.85917493032953</v>
      </c>
      <c r="O130">
        <f>(N130*1000)/I130</f>
        <v>9821.4121101492183</v>
      </c>
      <c r="P130" s="132">
        <f>N130/F130</f>
        <v>138.77938081967528</v>
      </c>
      <c r="Q130">
        <f>Rx!CA16</f>
        <v>1.74696573356365E-3</v>
      </c>
      <c r="R130">
        <f>Q130/I130</f>
        <v>2.3549086889941453E-4</v>
      </c>
      <c r="S130" s="132">
        <f>Q130/F130</f>
        <v>3.3275537782164761E-3</v>
      </c>
      <c r="T130">
        <f>Rx!CE16</f>
        <v>0.13457223644223198</v>
      </c>
      <c r="U130">
        <f>T130/I130</f>
        <v>1.8140328845988804E-2</v>
      </c>
      <c r="V130" s="132">
        <f>T130/F130</f>
        <v>0.25632806941377517</v>
      </c>
      <c r="W130" s="271"/>
      <c r="X130" s="271"/>
      <c r="Y130" s="384"/>
      <c r="Z130">
        <f t="shared" si="36"/>
        <v>3.3142857142857141</v>
      </c>
    </row>
    <row r="131" spans="2:26" x14ac:dyDescent="0.25">
      <c r="B131" s="628"/>
      <c r="C131" s="696"/>
      <c r="D131" s="424" t="s">
        <v>120</v>
      </c>
      <c r="E131" s="423"/>
      <c r="F131" s="423"/>
      <c r="G131" s="420"/>
      <c r="H131" s="420"/>
      <c r="I131" s="111"/>
      <c r="J131" s="421"/>
      <c r="K131" s="111"/>
      <c r="L131" s="111"/>
      <c r="M131" s="111"/>
      <c r="N131" s="422"/>
      <c r="O131" s="111"/>
      <c r="P131" s="421"/>
      <c r="Q131" s="111"/>
      <c r="R131" s="111"/>
      <c r="S131" s="421"/>
      <c r="T131" s="111"/>
      <c r="U131" s="111"/>
      <c r="V131" s="421"/>
      <c r="W131" s="111"/>
      <c r="X131" s="111"/>
      <c r="Y131" s="112"/>
    </row>
    <row r="132" spans="2:26" x14ac:dyDescent="0.25">
      <c r="B132" s="628"/>
      <c r="C132" s="697"/>
      <c r="D132" s="606" t="s">
        <v>121</v>
      </c>
      <c r="E132" s="607"/>
      <c r="F132" s="607"/>
      <c r="G132" s="608"/>
      <c r="H132" s="608"/>
      <c r="I132" s="609"/>
      <c r="J132" s="610"/>
      <c r="K132" s="609"/>
      <c r="L132" s="609"/>
      <c r="M132" s="609"/>
      <c r="N132" s="611"/>
      <c r="O132" s="609"/>
      <c r="P132" s="610"/>
      <c r="Q132" s="609"/>
      <c r="R132" s="609"/>
      <c r="S132" s="610"/>
      <c r="T132" s="609"/>
      <c r="U132" s="609"/>
      <c r="V132" s="610"/>
      <c r="W132" s="609"/>
      <c r="X132" s="609"/>
      <c r="Y132" s="612"/>
    </row>
    <row r="133" spans="2:26" x14ac:dyDescent="0.25">
      <c r="B133" s="628"/>
      <c r="C133" s="680" t="s">
        <v>710</v>
      </c>
      <c r="D133" s="437" t="s">
        <v>49</v>
      </c>
      <c r="E133" s="124">
        <f>Weights!I119</f>
        <v>1.5449999999999999</v>
      </c>
      <c r="F133" s="124">
        <f>Weights!M119</f>
        <v>0.49333333333333335</v>
      </c>
      <c r="G133" s="124"/>
      <c r="H133" s="613">
        <f>'Alamar Blue - Analysis'!L41</f>
        <v>1.7802197802197803</v>
      </c>
      <c r="I133" s="163">
        <f>Picogreen!BN50</f>
        <v>24.585993999999999</v>
      </c>
      <c r="J133">
        <f t="shared" si="57"/>
        <v>49.836474324324321</v>
      </c>
      <c r="K133" s="163">
        <f>DMMB!BN58</f>
        <v>251.15640000000027</v>
      </c>
      <c r="L133">
        <f t="shared" ref="L133:L137" si="62">K133*1000/I133</f>
        <v>10215.425904683792</v>
      </c>
      <c r="M133">
        <f t="shared" ref="M133:M137" si="63">K133/F133</f>
        <v>509.10081081081137</v>
      </c>
      <c r="N133" s="163"/>
      <c r="Q133" s="163">
        <f>Rx!CM7</f>
        <v>1.7747421706764801E-4</v>
      </c>
      <c r="R133">
        <f t="shared" ref="R133:R137" si="64">Q133/I133</f>
        <v>7.2185089229114765E-6</v>
      </c>
      <c r="S133">
        <f t="shared" ref="S133:S137" si="65">Q133/F133</f>
        <v>3.5974503459658381E-4</v>
      </c>
      <c r="T133" s="163">
        <f>Rx!CQ7</f>
        <v>1.2566630215427701</v>
      </c>
      <c r="U133">
        <f t="shared" ref="U133:U137" si="66">T133/I133</f>
        <v>5.1112963809507563E-2</v>
      </c>
      <c r="V133">
        <f t="shared" ref="V133:V137" si="67">T133/F133</f>
        <v>2.5472899085326421</v>
      </c>
      <c r="W133" s="163"/>
      <c r="Y133" s="4"/>
    </row>
    <row r="134" spans="2:26" x14ac:dyDescent="0.25">
      <c r="B134" s="628"/>
      <c r="C134" s="657"/>
      <c r="D134" s="437" t="s">
        <v>711</v>
      </c>
      <c r="E134" s="124">
        <f>Weights!I120</f>
        <v>1.4350000000000001</v>
      </c>
      <c r="F134" s="124">
        <f>Weights!M120</f>
        <v>0.47</v>
      </c>
      <c r="G134" s="124"/>
      <c r="H134" s="614">
        <f>'Alamar Blue - Analysis'!L42</f>
        <v>2.2153846153846151</v>
      </c>
      <c r="I134" s="79">
        <f>Picogreen!BN51</f>
        <v>33.131894000000003</v>
      </c>
      <c r="J134">
        <f t="shared" si="57"/>
        <v>70.493391489361713</v>
      </c>
      <c r="K134" s="79">
        <f>DMMB!BN59</f>
        <v>298.87220000000013</v>
      </c>
      <c r="L134">
        <f t="shared" si="62"/>
        <v>9020.6795904876471</v>
      </c>
      <c r="M134">
        <f t="shared" si="63"/>
        <v>635.89829787234078</v>
      </c>
      <c r="N134" s="79"/>
      <c r="Q134" s="79">
        <f>Rx!CM8</f>
        <v>3.0390496462468901E-4</v>
      </c>
      <c r="R134">
        <f t="shared" si="64"/>
        <v>9.1725804937287621E-6</v>
      </c>
      <c r="S134">
        <f t="shared" si="65"/>
        <v>6.4660630771210437E-4</v>
      </c>
      <c r="T134" s="79">
        <f>Rx!CQ8</f>
        <v>5.0175458323917796</v>
      </c>
      <c r="U134">
        <f t="shared" si="66"/>
        <v>0.15144156360007005</v>
      </c>
      <c r="V134">
        <f t="shared" si="67"/>
        <v>10.675629430620809</v>
      </c>
      <c r="W134" s="79"/>
      <c r="Y134" s="4"/>
    </row>
    <row r="135" spans="2:26" x14ac:dyDescent="0.25">
      <c r="B135" s="628"/>
      <c r="C135" s="657"/>
      <c r="D135" s="437" t="s">
        <v>712</v>
      </c>
      <c r="E135" s="124">
        <f>Weights!I121</f>
        <v>1.76</v>
      </c>
      <c r="F135" s="124">
        <f>Weights!M121</f>
        <v>0.505</v>
      </c>
      <c r="G135" s="124"/>
      <c r="H135" s="614">
        <f>'Alamar Blue - Analysis'!L43</f>
        <v>2.2351648351648357</v>
      </c>
      <c r="I135" s="79">
        <f>Picogreen!BN52</f>
        <v>34.413778999999998</v>
      </c>
      <c r="J135">
        <f t="shared" si="57"/>
        <v>68.146097029702972</v>
      </c>
      <c r="K135" s="79">
        <f>DMMB!BN60</f>
        <v>275.01429999999999</v>
      </c>
      <c r="L135">
        <f t="shared" si="62"/>
        <v>7991.4007700229613</v>
      </c>
      <c r="M135">
        <f t="shared" si="63"/>
        <v>544.58277227722772</v>
      </c>
      <c r="N135" s="79"/>
      <c r="Q135" s="79">
        <f>Rx!CM9</f>
        <v>2.34014675602474E-4</v>
      </c>
      <c r="R135">
        <f t="shared" si="64"/>
        <v>6.8000284305444636E-6</v>
      </c>
      <c r="S135">
        <f t="shared" si="65"/>
        <v>4.6339539723262176E-4</v>
      </c>
      <c r="T135" s="79">
        <f>Rx!CQ9</f>
        <v>3.7426703032904198</v>
      </c>
      <c r="U135">
        <f t="shared" si="66"/>
        <v>0.10875499326273991</v>
      </c>
      <c r="V135">
        <f t="shared" si="67"/>
        <v>7.4112283233473661</v>
      </c>
      <c r="W135" s="79"/>
      <c r="Y135" s="4"/>
    </row>
    <row r="136" spans="2:26" x14ac:dyDescent="0.25">
      <c r="B136" s="628"/>
      <c r="C136" s="657"/>
      <c r="D136" s="437" t="s">
        <v>713</v>
      </c>
      <c r="E136" s="124">
        <f>Weights!I122</f>
        <v>1.57</v>
      </c>
      <c r="F136" s="124">
        <f>Weights!M122</f>
        <v>0.44999999999999996</v>
      </c>
      <c r="G136" s="124"/>
      <c r="H136" s="614">
        <f>'Alamar Blue - Analysis'!L44</f>
        <v>1.9582417582417582</v>
      </c>
      <c r="I136" s="79">
        <f>Picogreen!BN53</f>
        <v>29.286239000000002</v>
      </c>
      <c r="J136">
        <f t="shared" si="57"/>
        <v>65.080531111111128</v>
      </c>
      <c r="K136" s="79">
        <f>DMMB!BN61</f>
        <v>262.0009</v>
      </c>
      <c r="L136">
        <f t="shared" si="62"/>
        <v>8946.2119051886439</v>
      </c>
      <c r="M136">
        <f t="shared" si="63"/>
        <v>582.22422222222224</v>
      </c>
      <c r="N136" s="79"/>
      <c r="Q136" s="79">
        <f>Rx!CM10</f>
        <v>2.8898456584466599E-4</v>
      </c>
      <c r="R136">
        <f t="shared" si="64"/>
        <v>9.8675888646768865E-6</v>
      </c>
      <c r="S136">
        <f t="shared" si="65"/>
        <v>6.4218792409925785E-4</v>
      </c>
      <c r="T136" s="79">
        <f>Rx!CQ10</f>
        <v>3.8428390948626698</v>
      </c>
      <c r="U136">
        <f t="shared" si="66"/>
        <v>0.13121654490570364</v>
      </c>
      <c r="V136">
        <f t="shared" si="67"/>
        <v>8.5396424330281562</v>
      </c>
      <c r="W136" s="79"/>
      <c r="Y136" s="4"/>
    </row>
    <row r="137" spans="2:26" ht="15.75" thickBot="1" x14ac:dyDescent="0.3">
      <c r="B137" s="629"/>
      <c r="C137" s="636"/>
      <c r="D137" s="192" t="s">
        <v>714</v>
      </c>
      <c r="E137" s="209">
        <f>Weights!I123</f>
        <v>0.98666666666666669</v>
      </c>
      <c r="F137" s="209">
        <f>Weights!M123</f>
        <v>0.33</v>
      </c>
      <c r="G137" s="209"/>
      <c r="H137" s="615">
        <f>'Alamar Blue - Analysis'!L45</f>
        <v>1.6912087912087912</v>
      </c>
      <c r="I137" s="82">
        <f>Picogreen!BN54</f>
        <v>28.858943999999997</v>
      </c>
      <c r="J137" s="6">
        <f t="shared" si="57"/>
        <v>87.451345454545447</v>
      </c>
      <c r="K137" s="82">
        <f>DMMB!BN62</f>
        <v>242.48079999999959</v>
      </c>
      <c r="L137" s="6">
        <f t="shared" si="62"/>
        <v>8402.2755648993807</v>
      </c>
      <c r="M137" s="6">
        <f t="shared" si="63"/>
        <v>734.79030303030174</v>
      </c>
      <c r="N137" s="82"/>
      <c r="O137" s="6"/>
      <c r="P137" s="6"/>
      <c r="Q137" s="82">
        <f>Rx!CM11</f>
        <v>2.6778189389410601E-4</v>
      </c>
      <c r="R137" s="6">
        <f t="shared" si="64"/>
        <v>9.2789914244300147E-6</v>
      </c>
      <c r="S137" s="6">
        <f t="shared" si="65"/>
        <v>8.1146028452759394E-4</v>
      </c>
      <c r="T137" s="82">
        <f>Rx!CQ11</f>
        <v>3.88837036375915</v>
      </c>
      <c r="U137" s="6">
        <f t="shared" si="66"/>
        <v>0.13473709792566044</v>
      </c>
      <c r="V137" s="6">
        <f t="shared" si="67"/>
        <v>11.782940496239847</v>
      </c>
      <c r="W137" s="82"/>
      <c r="X137" s="6"/>
      <c r="Y137" s="7"/>
    </row>
    <row r="139" spans="2:26" ht="15.75" thickBot="1" x14ac:dyDescent="0.3"/>
    <row r="140" spans="2:26" x14ac:dyDescent="0.25">
      <c r="B140" s="689" t="s">
        <v>222</v>
      </c>
      <c r="C140" s="627" t="s">
        <v>72</v>
      </c>
      <c r="D140" s="9" t="s">
        <v>64</v>
      </c>
      <c r="E140" s="375">
        <f t="shared" ref="E140:P140" si="68">TTEST(E3:E10,E11:E25,1,2)</f>
        <v>0.43019954198166743</v>
      </c>
      <c r="F140" s="202">
        <f t="shared" si="68"/>
        <v>4.5604596578787938E-2</v>
      </c>
      <c r="G140" s="202">
        <f t="shared" si="68"/>
        <v>8.4500639118640697E-2</v>
      </c>
      <c r="H140" s="202">
        <f t="shared" si="68"/>
        <v>0.44765569514748255</v>
      </c>
      <c r="I140" s="8">
        <f t="shared" si="68"/>
        <v>2.4203848665653553E-3</v>
      </c>
      <c r="J140" s="202">
        <f t="shared" si="68"/>
        <v>0.13257367973840398</v>
      </c>
      <c r="K140" s="8">
        <f t="shared" si="68"/>
        <v>0.42968490042716267</v>
      </c>
      <c r="L140" s="8">
        <f t="shared" si="68"/>
        <v>1.1445655504342793E-3</v>
      </c>
      <c r="M140" s="202">
        <f t="shared" si="68"/>
        <v>4.082415843917743E-2</v>
      </c>
      <c r="N140" s="8">
        <f t="shared" si="68"/>
        <v>5.0926252032377933E-7</v>
      </c>
      <c r="O140" s="8">
        <f t="shared" si="68"/>
        <v>0.16393841290738936</v>
      </c>
      <c r="P140" s="202">
        <f t="shared" si="68"/>
        <v>4.3065108182101637E-4</v>
      </c>
      <c r="Q140" s="279"/>
      <c r="R140" s="279"/>
      <c r="S140" s="280"/>
      <c r="T140" s="279"/>
      <c r="U140" s="279"/>
      <c r="V140" s="280"/>
      <c r="W140" s="279"/>
      <c r="X140" s="279"/>
      <c r="Y140" s="400"/>
      <c r="Z140" s="9">
        <f>TTEST(Z3:Z10,Z11:Z25,1,2)</f>
        <v>7.0344296717107846E-2</v>
      </c>
    </row>
    <row r="141" spans="2:26" x14ac:dyDescent="0.25">
      <c r="B141" s="690"/>
      <c r="C141" s="628"/>
      <c r="D141" s="4" t="s">
        <v>65</v>
      </c>
      <c r="E141" s="80">
        <f t="shared" ref="E141:Z141" si="69">TTEST(E11:E25,E26:E41,1,2)</f>
        <v>0.44733309333019444</v>
      </c>
      <c r="F141" s="132">
        <f t="shared" si="69"/>
        <v>0.47781789894628779</v>
      </c>
      <c r="G141" s="132">
        <f t="shared" si="69"/>
        <v>0.22139082707559571</v>
      </c>
      <c r="H141" s="132">
        <f t="shared" si="69"/>
        <v>7.4292323861039917E-4</v>
      </c>
      <c r="I141">
        <f t="shared" si="69"/>
        <v>1.194722248961742E-11</v>
      </c>
      <c r="J141" s="132">
        <f t="shared" si="69"/>
        <v>2.8489114907188344E-11</v>
      </c>
      <c r="K141">
        <f t="shared" si="69"/>
        <v>2.62757828379563E-3</v>
      </c>
      <c r="L141">
        <f t="shared" si="69"/>
        <v>4.8289109097213391E-5</v>
      </c>
      <c r="M141" s="132">
        <f t="shared" si="69"/>
        <v>1.190780762184873E-2</v>
      </c>
      <c r="N141">
        <f t="shared" si="69"/>
        <v>3.3331722855749951E-5</v>
      </c>
      <c r="O141">
        <f t="shared" si="69"/>
        <v>3.6412157678099466E-6</v>
      </c>
      <c r="P141" s="132">
        <f t="shared" si="69"/>
        <v>7.5307164087012331E-6</v>
      </c>
      <c r="Q141">
        <f t="shared" si="69"/>
        <v>0.15958129361996365</v>
      </c>
      <c r="R141">
        <f t="shared" si="69"/>
        <v>0.13931954892782988</v>
      </c>
      <c r="S141" s="132">
        <f t="shared" si="69"/>
        <v>0.23290379278914525</v>
      </c>
      <c r="T141">
        <f t="shared" si="69"/>
        <v>1.0067379570329843E-3</v>
      </c>
      <c r="U141">
        <f t="shared" si="69"/>
        <v>6.8497898564857775E-3</v>
      </c>
      <c r="V141" s="132">
        <f t="shared" si="69"/>
        <v>6.2484621357029684E-4</v>
      </c>
      <c r="W141">
        <f t="shared" si="69"/>
        <v>1.9021454204851888E-4</v>
      </c>
      <c r="X141">
        <f t="shared" si="69"/>
        <v>3.8113335275178619E-4</v>
      </c>
      <c r="Y141" s="4">
        <f t="shared" si="69"/>
        <v>1.4575389154493939E-4</v>
      </c>
      <c r="Z141" s="4">
        <f t="shared" si="69"/>
        <v>0.355298860852023</v>
      </c>
    </row>
    <row r="142" spans="2:26" x14ac:dyDescent="0.25">
      <c r="B142" s="690"/>
      <c r="C142" s="628"/>
      <c r="D142" s="4" t="s">
        <v>66</v>
      </c>
      <c r="E142" s="80">
        <f t="shared" ref="E142:P142" si="70">TTEST(E3:E10,E26:E41,1,2)</f>
        <v>0.44439217225763827</v>
      </c>
      <c r="F142" s="132">
        <f t="shared" si="70"/>
        <v>2.9562441131831575E-2</v>
      </c>
      <c r="G142" s="132">
        <f t="shared" si="70"/>
        <v>3.886985482577645E-2</v>
      </c>
      <c r="H142" s="132">
        <f t="shared" si="70"/>
        <v>4.2204975252872042E-6</v>
      </c>
      <c r="I142">
        <f t="shared" si="70"/>
        <v>7.9362488830033166E-4</v>
      </c>
      <c r="J142" s="132">
        <f t="shared" si="70"/>
        <v>1.5110006818120692E-4</v>
      </c>
      <c r="K142">
        <f t="shared" si="70"/>
        <v>6.6164680876088858E-2</v>
      </c>
      <c r="L142">
        <f t="shared" si="70"/>
        <v>2.7985326355922886E-2</v>
      </c>
      <c r="M142" s="132">
        <f t="shared" si="70"/>
        <v>1.9847202258581761E-3</v>
      </c>
      <c r="N142">
        <f t="shared" si="70"/>
        <v>1.8808838437569243E-2</v>
      </c>
      <c r="O142">
        <f t="shared" si="70"/>
        <v>8.6158153937448251E-4</v>
      </c>
      <c r="P142" s="132">
        <f t="shared" si="70"/>
        <v>0.46222090456007031</v>
      </c>
      <c r="Q142" s="271"/>
      <c r="R142" s="271"/>
      <c r="S142" s="272"/>
      <c r="T142" s="271"/>
      <c r="U142" s="271"/>
      <c r="V142" s="272"/>
      <c r="W142" s="271"/>
      <c r="X142" s="271"/>
      <c r="Y142" s="384"/>
      <c r="Z142" s="4">
        <f>TTEST(Z3:Z10,Z26:Z41,1,2)</f>
        <v>2.8654310105915071E-2</v>
      </c>
    </row>
    <row r="143" spans="2:26" ht="15.75" thickBot="1" x14ac:dyDescent="0.3">
      <c r="B143" s="690"/>
      <c r="C143" s="629"/>
      <c r="D143" s="94" t="s">
        <v>221</v>
      </c>
      <c r="E143" s="81">
        <f t="shared" ref="E143:Z143" si="71">TTEST(E26:E41,E50:E69,1,2)</f>
        <v>6.8057059807711429E-2</v>
      </c>
      <c r="F143" s="203">
        <f t="shared" si="71"/>
        <v>0.20775476364187051</v>
      </c>
      <c r="G143" s="203">
        <f t="shared" si="71"/>
        <v>7.9536268562718365E-2</v>
      </c>
      <c r="H143" s="203">
        <f t="shared" si="71"/>
        <v>0.1044855290603572</v>
      </c>
      <c r="I143" s="6">
        <f t="shared" si="71"/>
        <v>0.3408938485546173</v>
      </c>
      <c r="J143" s="203">
        <f t="shared" si="71"/>
        <v>0.32421709767879353</v>
      </c>
      <c r="K143" s="6">
        <f t="shared" si="71"/>
        <v>3.5552175007106403E-3</v>
      </c>
      <c r="L143" s="6">
        <f t="shared" si="71"/>
        <v>0.25156430334305019</v>
      </c>
      <c r="M143" s="203">
        <f t="shared" si="71"/>
        <v>4.139081494299781E-3</v>
      </c>
      <c r="N143" s="6">
        <f t="shared" si="71"/>
        <v>2.6717991711938512E-2</v>
      </c>
      <c r="O143" s="6">
        <f t="shared" si="71"/>
        <v>7.0604841032088639E-2</v>
      </c>
      <c r="P143" s="203">
        <f t="shared" si="71"/>
        <v>4.0908208745301294E-2</v>
      </c>
      <c r="Q143">
        <f t="shared" si="71"/>
        <v>0.4701456209003898</v>
      </c>
      <c r="R143">
        <f t="shared" si="71"/>
        <v>0.38534990286400961</v>
      </c>
      <c r="S143" s="203">
        <f t="shared" si="71"/>
        <v>0.44320733421479297</v>
      </c>
      <c r="T143">
        <f t="shared" si="71"/>
        <v>6.4539356706613934E-4</v>
      </c>
      <c r="U143">
        <f t="shared" si="71"/>
        <v>1.6185573944834435E-2</v>
      </c>
      <c r="V143" s="203">
        <f t="shared" si="71"/>
        <v>7.1242266363837731E-4</v>
      </c>
      <c r="W143">
        <f t="shared" si="71"/>
        <v>4.9322226787440722E-3</v>
      </c>
      <c r="X143">
        <f t="shared" si="71"/>
        <v>5.4422800598528519E-2</v>
      </c>
      <c r="Y143" s="4">
        <f t="shared" si="71"/>
        <v>7.1792224452995402E-3</v>
      </c>
      <c r="Z143" s="4">
        <f t="shared" si="71"/>
        <v>6.2096124859840875E-2</v>
      </c>
    </row>
    <row r="144" spans="2:26" x14ac:dyDescent="0.25">
      <c r="B144" s="690"/>
      <c r="C144" s="627" t="s">
        <v>73</v>
      </c>
      <c r="D144" s="9" t="s">
        <v>64</v>
      </c>
      <c r="E144" s="375">
        <f t="shared" ref="E144:P144" si="72">TTEST(E70:E75,E76:E91,1,2)</f>
        <v>0.3727678358976223</v>
      </c>
      <c r="F144" s="202">
        <f t="shared" si="72"/>
        <v>0.23244102619031309</v>
      </c>
      <c r="G144" s="202">
        <f>TTEST(G70:G75,G76:G91,1,2)</f>
        <v>0.18353744175099679</v>
      </c>
      <c r="H144" s="202">
        <f t="shared" si="72"/>
        <v>5.6461840089578588E-4</v>
      </c>
      <c r="I144" s="8">
        <f t="shared" si="72"/>
        <v>1.9216285124424078E-3</v>
      </c>
      <c r="J144" s="202">
        <f t="shared" si="72"/>
        <v>8.678291265273844E-3</v>
      </c>
      <c r="K144" s="8">
        <f t="shared" si="72"/>
        <v>0.248777666256151</v>
      </c>
      <c r="L144" s="8">
        <f t="shared" si="72"/>
        <v>1.1786814642261004E-2</v>
      </c>
      <c r="M144" s="202">
        <f t="shared" si="72"/>
        <v>0.45011341628663609</v>
      </c>
      <c r="N144" s="8">
        <f t="shared" si="72"/>
        <v>2.2348203086949674E-2</v>
      </c>
      <c r="O144" s="8">
        <f t="shared" si="72"/>
        <v>4.9781181895805168E-4</v>
      </c>
      <c r="P144" s="202">
        <f t="shared" si="72"/>
        <v>1.6091273426178723E-4</v>
      </c>
      <c r="Q144" s="279"/>
      <c r="R144" s="279"/>
      <c r="S144" s="280"/>
      <c r="T144" s="279"/>
      <c r="U144" s="279"/>
      <c r="V144" s="280"/>
      <c r="W144" s="279"/>
      <c r="X144" s="279"/>
      <c r="Y144" s="400"/>
      <c r="Z144" s="9">
        <f>TTEST(Z70:Z75,Z76:Z91,1,2)</f>
        <v>0.18802338733803092</v>
      </c>
    </row>
    <row r="145" spans="2:26" x14ac:dyDescent="0.25">
      <c r="B145" s="690"/>
      <c r="C145" s="628"/>
      <c r="D145" s="4" t="s">
        <v>65</v>
      </c>
      <c r="E145" s="80">
        <f>TTEST(E76:E91,E92:E111,1,2)</f>
        <v>0.16455563517311939</v>
      </c>
      <c r="F145" s="132">
        <f t="shared" ref="F145:Y145" si="73">TTEST(F76:F91,F92:F111,1,2)</f>
        <v>5.8867783460362824E-2</v>
      </c>
      <c r="G145" s="132">
        <f>TTEST(G76:G91,G92:G111,1,2)</f>
        <v>4.1071236740821798E-4</v>
      </c>
      <c r="H145" s="132">
        <f t="shared" si="73"/>
        <v>6.8991951411301331E-3</v>
      </c>
      <c r="I145">
        <f t="shared" si="73"/>
        <v>1.7409089836612832E-13</v>
      </c>
      <c r="J145" s="132">
        <f t="shared" si="73"/>
        <v>6.2105613600518141E-13</v>
      </c>
      <c r="K145">
        <f t="shared" si="73"/>
        <v>0.26644391223978642</v>
      </c>
      <c r="L145">
        <f t="shared" si="73"/>
        <v>1.5161793785598332E-9</v>
      </c>
      <c r="M145" s="132">
        <f t="shared" si="73"/>
        <v>0.41123795846136446</v>
      </c>
      <c r="N145">
        <f t="shared" si="73"/>
        <v>7.9283067806910669E-3</v>
      </c>
      <c r="O145">
        <f t="shared" si="73"/>
        <v>3.1755403184908128E-7</v>
      </c>
      <c r="P145" s="132">
        <f t="shared" si="73"/>
        <v>7.0152130201308712E-6</v>
      </c>
      <c r="Q145">
        <f t="shared" si="73"/>
        <v>0.13185193827353306</v>
      </c>
      <c r="R145">
        <f t="shared" si="73"/>
        <v>4.4465437606857831E-2</v>
      </c>
      <c r="S145" s="132">
        <f t="shared" si="73"/>
        <v>0.1727047551664182</v>
      </c>
      <c r="T145">
        <f t="shared" si="73"/>
        <v>0.22882880514407011</v>
      </c>
      <c r="U145">
        <f t="shared" si="73"/>
        <v>5.1659196343475489E-2</v>
      </c>
      <c r="V145" s="132">
        <f t="shared" si="73"/>
        <v>0.31374770943197317</v>
      </c>
      <c r="W145">
        <f t="shared" si="73"/>
        <v>4.1903919180971026E-3</v>
      </c>
      <c r="X145">
        <f t="shared" si="73"/>
        <v>5.9428028068549357E-5</v>
      </c>
      <c r="Y145" s="4">
        <f t="shared" si="73"/>
        <v>5.1642931757574185E-3</v>
      </c>
      <c r="Z145" s="4">
        <f>TTEST(Z76:Z91,Z92:Z111,1,2)</f>
        <v>1.4263132881461046E-3</v>
      </c>
    </row>
    <row r="146" spans="2:26" x14ac:dyDescent="0.25">
      <c r="B146" s="690"/>
      <c r="C146" s="628"/>
      <c r="D146" s="4" t="s">
        <v>66</v>
      </c>
      <c r="E146" s="80">
        <f t="shared" ref="E146:P146" si="74">TTEST(E70:E75,E92:E111,1,2)</f>
        <v>0.33496903044347459</v>
      </c>
      <c r="F146" s="132">
        <f t="shared" si="74"/>
        <v>0.29068016225822851</v>
      </c>
      <c r="G146" s="132">
        <f>TTEST(G70:G75,G92:G111,1,2)</f>
        <v>2.5487596292019587E-2</v>
      </c>
      <c r="H146" s="132">
        <f t="shared" si="74"/>
        <v>2.8353955418637254E-4</v>
      </c>
      <c r="I146">
        <f t="shared" si="74"/>
        <v>2.412397202794568E-10</v>
      </c>
      <c r="J146" s="132">
        <f t="shared" si="74"/>
        <v>2.3670504520986364E-9</v>
      </c>
      <c r="K146">
        <f t="shared" si="74"/>
        <v>0.46817292714360548</v>
      </c>
      <c r="L146">
        <f t="shared" si="74"/>
        <v>9.0537493445801385E-6</v>
      </c>
      <c r="M146" s="132">
        <f t="shared" si="74"/>
        <v>0.42154179954623966</v>
      </c>
      <c r="N146">
        <f t="shared" si="74"/>
        <v>0.33870936668277585</v>
      </c>
      <c r="O146">
        <f t="shared" si="74"/>
        <v>3.9413972767370057E-5</v>
      </c>
      <c r="P146" s="132">
        <f t="shared" si="74"/>
        <v>0.46618338000440729</v>
      </c>
      <c r="Q146" s="271"/>
      <c r="R146" s="271"/>
      <c r="S146" s="272"/>
      <c r="T146" s="271"/>
      <c r="U146" s="271"/>
      <c r="V146" s="272"/>
      <c r="W146" s="271"/>
      <c r="X146" s="271"/>
      <c r="Y146" s="384"/>
      <c r="Z146" s="4">
        <f>TTEST(Z70:Z75,Z92:Z111,1,2)</f>
        <v>2.4364889029918325E-2</v>
      </c>
    </row>
    <row r="147" spans="2:26" ht="15.75" thickBot="1" x14ac:dyDescent="0.3">
      <c r="B147" s="690"/>
      <c r="C147" s="629"/>
      <c r="D147" s="4" t="s">
        <v>221</v>
      </c>
      <c r="E147" s="80">
        <f>TTEST(E92:E111,E117:E132,1,2)</f>
        <v>0.47135080780093153</v>
      </c>
      <c r="F147" s="132">
        <f t="shared" ref="F147:Y147" si="75">TTEST(F92:F111,F117:F132,1,2)</f>
        <v>0.1238368168051301</v>
      </c>
      <c r="G147" s="132">
        <f>TTEST(G92:G111,G117:G132,1,2)</f>
        <v>9.8498066008114536E-3</v>
      </c>
      <c r="H147" s="132">
        <f t="shared" si="75"/>
        <v>8.4942015847258943E-3</v>
      </c>
      <c r="I147">
        <f t="shared" si="75"/>
        <v>0.21384841687056361</v>
      </c>
      <c r="J147" s="132">
        <f t="shared" si="75"/>
        <v>0.35282828351869022</v>
      </c>
      <c r="K147">
        <f t="shared" si="75"/>
        <v>7.3324079634212641E-2</v>
      </c>
      <c r="L147">
        <f t="shared" si="75"/>
        <v>0.21089087843744786</v>
      </c>
      <c r="M147" s="132">
        <f t="shared" si="75"/>
        <v>0.15391198117528762</v>
      </c>
      <c r="N147">
        <f t="shared" si="75"/>
        <v>1.495747089995984E-2</v>
      </c>
      <c r="O147">
        <f t="shared" si="75"/>
        <v>0.29221359814710568</v>
      </c>
      <c r="P147" s="132">
        <f t="shared" si="75"/>
        <v>2.2683897115196732E-2</v>
      </c>
      <c r="Q147">
        <f t="shared" si="75"/>
        <v>0.32263358644276019</v>
      </c>
      <c r="R147">
        <f t="shared" si="75"/>
        <v>0.23277119026753573</v>
      </c>
      <c r="S147" s="203">
        <f>TTEST(S92:S111,S117:S132,1,2)</f>
        <v>0.1634110848304704</v>
      </c>
      <c r="T147">
        <f t="shared" si="75"/>
        <v>0.10835106834906739</v>
      </c>
      <c r="U147">
        <f t="shared" si="75"/>
        <v>5.5084425587772837E-2</v>
      </c>
      <c r="V147" s="203">
        <f t="shared" si="75"/>
        <v>0.19858697947417625</v>
      </c>
      <c r="W147">
        <f t="shared" si="75"/>
        <v>0.15471387214670246</v>
      </c>
      <c r="X147">
        <f t="shared" si="75"/>
        <v>7.8455972308991151E-2</v>
      </c>
      <c r="Y147" s="4">
        <f t="shared" si="75"/>
        <v>9.3632360295781494E-2</v>
      </c>
      <c r="Z147" s="4">
        <f>TTEST(Z92:Z111,Z117:Z132,1,2)</f>
        <v>1.0234508222343099E-2</v>
      </c>
    </row>
    <row r="148" spans="2:26" x14ac:dyDescent="0.25">
      <c r="B148" s="690"/>
      <c r="C148" s="698" t="s">
        <v>220</v>
      </c>
      <c r="D148" s="9" t="s">
        <v>26</v>
      </c>
      <c r="E148" s="375">
        <f t="shared" ref="E148:P148" si="76">TTEST(E3:E10,E70:E75,1,2)</f>
        <v>0.38508795871867463</v>
      </c>
      <c r="F148" s="202">
        <f t="shared" si="76"/>
        <v>0.17616311078995733</v>
      </c>
      <c r="G148" s="202">
        <f t="shared" si="76"/>
        <v>0.1051702759261382</v>
      </c>
      <c r="H148" s="202">
        <f t="shared" si="76"/>
        <v>3.3726459482414147E-3</v>
      </c>
      <c r="I148" s="8">
        <f t="shared" si="76"/>
        <v>0.25520128684347582</v>
      </c>
      <c r="J148" s="202">
        <f t="shared" si="76"/>
        <v>0.42607853529516027</v>
      </c>
      <c r="K148" s="8">
        <f t="shared" si="76"/>
        <v>1.4991233718736553E-2</v>
      </c>
      <c r="L148" s="8">
        <f t="shared" si="76"/>
        <v>1.952785544683542E-2</v>
      </c>
      <c r="M148" s="202">
        <f t="shared" si="76"/>
        <v>3.4453510847294935E-3</v>
      </c>
      <c r="N148" s="8">
        <f t="shared" si="76"/>
        <v>6.6247185392530232E-3</v>
      </c>
      <c r="O148" s="8">
        <f t="shared" si="76"/>
        <v>0.35324408041237138</v>
      </c>
      <c r="P148" s="202">
        <f t="shared" si="76"/>
        <v>0.35977876155364591</v>
      </c>
      <c r="Q148" s="279"/>
      <c r="R148" s="279"/>
      <c r="S148" s="280"/>
      <c r="T148" s="279"/>
      <c r="U148" s="279"/>
      <c r="V148" s="280"/>
      <c r="W148" s="279"/>
      <c r="X148" s="279"/>
      <c r="Y148" s="400"/>
      <c r="Z148" s="9">
        <f>TTEST(Z3:Z10,Z70:Z75,1,2)</f>
        <v>0.10226850193664801</v>
      </c>
    </row>
    <row r="149" spans="2:26" x14ac:dyDescent="0.25">
      <c r="B149" s="690"/>
      <c r="C149" s="699"/>
      <c r="D149" s="4" t="s">
        <v>11</v>
      </c>
      <c r="E149" s="80">
        <f t="shared" ref="E149:Z149" si="77">TTEST(E11:E25,E76:E91,1,2)</f>
        <v>0.43501953822945039</v>
      </c>
      <c r="F149" s="132">
        <f t="shared" si="77"/>
        <v>5.0412853158319379E-2</v>
      </c>
      <c r="G149" s="132">
        <f t="shared" si="77"/>
        <v>6.6747602114753404E-2</v>
      </c>
      <c r="H149" s="132">
        <f t="shared" si="77"/>
        <v>0.19409192106715478</v>
      </c>
      <c r="I149">
        <f t="shared" si="77"/>
        <v>4.1439221180911563E-10</v>
      </c>
      <c r="J149" s="132">
        <f t="shared" si="77"/>
        <v>3.8807462811960549E-8</v>
      </c>
      <c r="K149">
        <f t="shared" si="77"/>
        <v>2.4917092934061952E-9</v>
      </c>
      <c r="L149">
        <f t="shared" si="77"/>
        <v>2.6305633128120014E-3</v>
      </c>
      <c r="M149" s="132">
        <f t="shared" si="77"/>
        <v>3.8002061981430045E-6</v>
      </c>
      <c r="N149">
        <f t="shared" si="77"/>
        <v>0.22773719784593677</v>
      </c>
      <c r="O149">
        <f t="shared" si="77"/>
        <v>1.3640204361053584E-6</v>
      </c>
      <c r="P149" s="132">
        <f t="shared" si="77"/>
        <v>0.31717640710463979</v>
      </c>
      <c r="Q149">
        <f t="shared" si="77"/>
        <v>3.6888772937170177E-5</v>
      </c>
      <c r="R149">
        <f t="shared" si="77"/>
        <v>1.2092217746541838E-5</v>
      </c>
      <c r="S149" s="132">
        <f t="shared" si="77"/>
        <v>4.9909795242479452E-5</v>
      </c>
      <c r="T149">
        <f t="shared" si="77"/>
        <v>9.2508794745731412E-3</v>
      </c>
      <c r="U149">
        <f t="shared" si="77"/>
        <v>0.25998502104994226</v>
      </c>
      <c r="V149" s="132">
        <f t="shared" si="77"/>
        <v>2.9361714725208467E-2</v>
      </c>
      <c r="W149">
        <f t="shared" si="77"/>
        <v>2.5549799706569787E-2</v>
      </c>
      <c r="X149">
        <f t="shared" si="77"/>
        <v>0.26994670912505248</v>
      </c>
      <c r="Y149" s="4">
        <f t="shared" si="77"/>
        <v>5.7605150989197842E-2</v>
      </c>
      <c r="Z149" s="4">
        <f t="shared" si="77"/>
        <v>9.1876322532698312E-2</v>
      </c>
    </row>
    <row r="150" spans="2:26" x14ac:dyDescent="0.25">
      <c r="B150" s="690"/>
      <c r="C150" s="699"/>
      <c r="D150" s="4" t="s">
        <v>12</v>
      </c>
      <c r="E150" s="80">
        <f t="shared" ref="E150:Z150" si="78">TTEST(E26:E41,E92:E111,1,2)</f>
        <v>0.12478628937668609</v>
      </c>
      <c r="F150" s="132">
        <f t="shared" si="78"/>
        <v>0.40779622433616403</v>
      </c>
      <c r="G150" s="132">
        <f t="shared" si="78"/>
        <v>3.3071735805534816E-3</v>
      </c>
      <c r="H150" s="132">
        <f t="shared" si="78"/>
        <v>3.9355906711637252E-2</v>
      </c>
      <c r="I150">
        <f t="shared" si="78"/>
        <v>8.9580769648209204E-4</v>
      </c>
      <c r="J150" s="132">
        <f t="shared" si="78"/>
        <v>2.0246191790894378E-3</v>
      </c>
      <c r="K150">
        <f t="shared" si="78"/>
        <v>7.3004482481726446E-2</v>
      </c>
      <c r="L150">
        <f t="shared" si="78"/>
        <v>2.2691162711046511E-2</v>
      </c>
      <c r="M150" s="132">
        <f t="shared" si="78"/>
        <v>5.3009808907984873E-2</v>
      </c>
      <c r="N150">
        <f t="shared" si="78"/>
        <v>0.26465080922590056</v>
      </c>
      <c r="O150">
        <f t="shared" si="78"/>
        <v>3.6484272174211539E-4</v>
      </c>
      <c r="P150" s="132">
        <f t="shared" si="78"/>
        <v>0.27337297501568086</v>
      </c>
      <c r="Q150">
        <f t="shared" si="78"/>
        <v>9.6890576680771098E-2</v>
      </c>
      <c r="R150">
        <f t="shared" si="78"/>
        <v>0.38184186160469058</v>
      </c>
      <c r="S150" s="132">
        <f t="shared" si="78"/>
        <v>9.0797613124332516E-2</v>
      </c>
      <c r="T150">
        <f t="shared" si="78"/>
        <v>3.2554917767096451E-3</v>
      </c>
      <c r="U150">
        <f t="shared" si="78"/>
        <v>0.47549270316680031</v>
      </c>
      <c r="V150" s="132">
        <f t="shared" si="78"/>
        <v>1.9425443459589722E-3</v>
      </c>
      <c r="W150">
        <f t="shared" si="78"/>
        <v>0.11088062629687379</v>
      </c>
      <c r="X150">
        <f t="shared" si="78"/>
        <v>0.46783081266153848</v>
      </c>
      <c r="Y150" s="4">
        <f t="shared" si="78"/>
        <v>0.13257276172044613</v>
      </c>
      <c r="Z150" s="4">
        <f t="shared" si="78"/>
        <v>3.2615581265120421E-3</v>
      </c>
    </row>
    <row r="151" spans="2:26" ht="15.75" thickBot="1" x14ac:dyDescent="0.3">
      <c r="B151" s="691"/>
      <c r="C151" s="700"/>
      <c r="D151" s="7" t="s">
        <v>219</v>
      </c>
      <c r="E151" s="81">
        <f t="shared" ref="E151:Z151" si="79">TTEST(E50:E69,E117:E132,1,2)</f>
        <v>2.6095601950399935E-2</v>
      </c>
      <c r="F151" s="203">
        <f t="shared" si="79"/>
        <v>6.3903691014630615E-2</v>
      </c>
      <c r="G151" s="203">
        <f t="shared" si="79"/>
        <v>5.2051525312157246E-2</v>
      </c>
      <c r="H151" s="203">
        <f t="shared" si="79"/>
        <v>0.35275409366639454</v>
      </c>
      <c r="I151" s="6">
        <f t="shared" si="79"/>
        <v>4.6076750089096407E-3</v>
      </c>
      <c r="J151" s="203">
        <f t="shared" si="79"/>
        <v>1.5790569084805146E-2</v>
      </c>
      <c r="K151" s="6">
        <f t="shared" si="79"/>
        <v>0.23329614553068101</v>
      </c>
      <c r="L151" s="6">
        <f t="shared" si="79"/>
        <v>1.9815122180595633E-2</v>
      </c>
      <c r="M151" s="203">
        <f t="shared" si="79"/>
        <v>0.4939254871341629</v>
      </c>
      <c r="N151" s="6">
        <f t="shared" si="79"/>
        <v>2.8570325124519049E-3</v>
      </c>
      <c r="O151" s="6">
        <f t="shared" si="79"/>
        <v>7.458631765570238E-2</v>
      </c>
      <c r="P151" s="203">
        <f t="shared" si="79"/>
        <v>5.1425204305406017E-3</v>
      </c>
      <c r="Q151" s="6">
        <f t="shared" si="79"/>
        <v>0.12446799228140272</v>
      </c>
      <c r="R151" s="6">
        <f t="shared" si="79"/>
        <v>0.25352502087266426</v>
      </c>
      <c r="S151" s="203">
        <f t="shared" si="79"/>
        <v>0.18619240420733579</v>
      </c>
      <c r="T151" s="6">
        <f t="shared" si="79"/>
        <v>0.31199048206411273</v>
      </c>
      <c r="U151" s="6">
        <f t="shared" si="79"/>
        <v>0.41165554841482199</v>
      </c>
      <c r="V151" s="203">
        <f t="shared" si="79"/>
        <v>0.42092523184040898</v>
      </c>
      <c r="W151" s="6">
        <f t="shared" si="79"/>
        <v>0.45852968817495077</v>
      </c>
      <c r="X151" s="6">
        <f t="shared" si="79"/>
        <v>0.43203944339856221</v>
      </c>
      <c r="Y151" s="7">
        <f t="shared" si="79"/>
        <v>0.32514845001776627</v>
      </c>
      <c r="Z151" s="7">
        <f t="shared" si="79"/>
        <v>4.5603770462856685E-2</v>
      </c>
    </row>
  </sheetData>
  <dataConsolidate link="1"/>
  <mergeCells count="48">
    <mergeCell ref="B50:B69"/>
    <mergeCell ref="Z1:Z2"/>
    <mergeCell ref="B70:B75"/>
    <mergeCell ref="B3:B10"/>
    <mergeCell ref="B11:B25"/>
    <mergeCell ref="E1:E2"/>
    <mergeCell ref="D1:D2"/>
    <mergeCell ref="B1:B2"/>
    <mergeCell ref="N1:P1"/>
    <mergeCell ref="K1:M1"/>
    <mergeCell ref="I1:J1"/>
    <mergeCell ref="C1:C2"/>
    <mergeCell ref="T1:V1"/>
    <mergeCell ref="C70:C75"/>
    <mergeCell ref="W1:Y1"/>
    <mergeCell ref="C56:C64"/>
    <mergeCell ref="Q1:S1"/>
    <mergeCell ref="H1:H2"/>
    <mergeCell ref="F1:F2"/>
    <mergeCell ref="G1:G2"/>
    <mergeCell ref="C148:C151"/>
    <mergeCell ref="C140:C143"/>
    <mergeCell ref="C144:C147"/>
    <mergeCell ref="C65:C69"/>
    <mergeCell ref="C32:C36"/>
    <mergeCell ref="C50:C55"/>
    <mergeCell ref="C3:C8"/>
    <mergeCell ref="C11:C16"/>
    <mergeCell ref="C26:C31"/>
    <mergeCell ref="C37:C41"/>
    <mergeCell ref="C9:C10"/>
    <mergeCell ref="C17:C25"/>
    <mergeCell ref="B140:B151"/>
    <mergeCell ref="C121:C127"/>
    <mergeCell ref="C128:C132"/>
    <mergeCell ref="B26:B49"/>
    <mergeCell ref="C42:C49"/>
    <mergeCell ref="B92:B116"/>
    <mergeCell ref="C112:C116"/>
    <mergeCell ref="B117:B137"/>
    <mergeCell ref="C133:C137"/>
    <mergeCell ref="C117:C120"/>
    <mergeCell ref="C92:C96"/>
    <mergeCell ref="C76:C81"/>
    <mergeCell ref="C107:C111"/>
    <mergeCell ref="B76:B91"/>
    <mergeCell ref="C82:C91"/>
    <mergeCell ref="C97:C106"/>
  </mergeCells>
  <phoneticPr fontId="11" type="noConversion"/>
  <conditionalFormatting sqref="E140:P140 E141:Z141 E142:P144 E145:Z145 E146:P148">
    <cfRule type="cellIs" dxfId="60" priority="15" stopIfTrue="1" operator="lessThan">
      <formula>0.025</formula>
    </cfRule>
    <cfRule type="cellIs" dxfId="59" priority="16" operator="lessThan">
      <formula>0.05</formula>
    </cfRule>
  </conditionalFormatting>
  <conditionalFormatting sqref="E149:Z151">
    <cfRule type="cellIs" dxfId="58" priority="13" stopIfTrue="1" operator="lessThan">
      <formula>0.025</formula>
    </cfRule>
    <cfRule type="cellIs" dxfId="57" priority="14" operator="lessThan">
      <formula>0.05</formula>
    </cfRule>
  </conditionalFormatting>
  <conditionalFormatting sqref="Q143:Z143">
    <cfRule type="cellIs" dxfId="56" priority="11" stopIfTrue="1" operator="lessThan">
      <formula>0.025</formula>
    </cfRule>
    <cfRule type="cellIs" dxfId="55" priority="12" operator="lessThan">
      <formula>0.05</formula>
    </cfRule>
  </conditionalFormatting>
  <conditionalFormatting sqref="Q147:Z147">
    <cfRule type="cellIs" dxfId="54" priority="9" stopIfTrue="1" operator="lessThan">
      <formula>0.025</formula>
    </cfRule>
    <cfRule type="cellIs" dxfId="53" priority="10" operator="lessThan">
      <formula>0.05</formula>
    </cfRule>
  </conditionalFormatting>
  <conditionalFormatting sqref="Z142">
    <cfRule type="cellIs" dxfId="52" priority="7" stopIfTrue="1" operator="lessThan">
      <formula>0.025</formula>
    </cfRule>
    <cfRule type="cellIs" dxfId="51" priority="8" operator="lessThan">
      <formula>0.05</formula>
    </cfRule>
  </conditionalFormatting>
  <conditionalFormatting sqref="Z144">
    <cfRule type="cellIs" dxfId="50" priority="5" stopIfTrue="1" operator="lessThan">
      <formula>0.025</formula>
    </cfRule>
    <cfRule type="cellIs" dxfId="49" priority="6" operator="lessThan">
      <formula>0.05</formula>
    </cfRule>
  </conditionalFormatting>
  <conditionalFormatting sqref="Z146">
    <cfRule type="cellIs" dxfId="48" priority="3" stopIfTrue="1" operator="lessThan">
      <formula>0.025</formula>
    </cfRule>
    <cfRule type="cellIs" dxfId="47" priority="4" operator="lessThan">
      <formula>0.05</formula>
    </cfRule>
  </conditionalFormatting>
  <conditionalFormatting sqref="Z148">
    <cfRule type="cellIs" dxfId="46" priority="1" stopIfTrue="1" operator="lessThan">
      <formula>0.025</formula>
    </cfRule>
    <cfRule type="cellIs" dxfId="45" priority="2" operator="lessThan">
      <formula>0.05</formula>
    </cfRule>
  </conditionalFormatting>
  <hyperlinks>
    <hyperlink ref="A1" location="'Table of Contents'!A1" display="Table of Contents" xr:uid="{EB6613AF-BE99-4200-9051-C71FD8A1A78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3496-A1CC-4CBF-BC25-F8CC7673C6BD}">
  <sheetPr codeName="Sheet4"/>
  <dimension ref="A1:AD64"/>
  <sheetViews>
    <sheetView topLeftCell="A29" workbookViewId="0">
      <selection activeCell="G58" sqref="G58"/>
    </sheetView>
  </sheetViews>
  <sheetFormatPr defaultRowHeight="15" x14ac:dyDescent="0.25"/>
  <cols>
    <col min="1" max="1" width="16" customWidth="1"/>
    <col min="2" max="2" width="9.85546875" customWidth="1"/>
    <col min="16" max="16" width="3.5703125" customWidth="1"/>
  </cols>
  <sheetData>
    <row r="1" spans="1:30" ht="15.75" thickBot="1" x14ac:dyDescent="0.3">
      <c r="A1" s="1" t="s">
        <v>9</v>
      </c>
      <c r="B1" s="704" t="s">
        <v>7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6"/>
      <c r="Q1" s="704" t="s">
        <v>23</v>
      </c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6"/>
    </row>
    <row r="2" spans="1:30" x14ac:dyDescent="0.25">
      <c r="B2" s="707" t="s">
        <v>25</v>
      </c>
      <c r="C2" s="18"/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20">
        <v>12</v>
      </c>
      <c r="Q2" s="707" t="s">
        <v>27</v>
      </c>
      <c r="R2" s="18"/>
      <c r="S2" s="19">
        <v>1</v>
      </c>
      <c r="T2" s="19">
        <v>2</v>
      </c>
      <c r="U2" s="19">
        <v>3</v>
      </c>
      <c r="V2" s="19">
        <v>4</v>
      </c>
      <c r="W2" s="19">
        <v>5</v>
      </c>
      <c r="X2" s="19">
        <v>6</v>
      </c>
      <c r="Y2" s="19">
        <v>7</v>
      </c>
      <c r="Z2" s="19">
        <v>8</v>
      </c>
      <c r="AA2" s="19">
        <v>9</v>
      </c>
      <c r="AB2" s="19">
        <v>10</v>
      </c>
      <c r="AC2" s="19">
        <v>11</v>
      </c>
      <c r="AD2" s="20">
        <v>12</v>
      </c>
    </row>
    <row r="3" spans="1:30" x14ac:dyDescent="0.25">
      <c r="B3" s="708"/>
      <c r="C3" s="10" t="s">
        <v>13</v>
      </c>
      <c r="D3" s="11">
        <v>49</v>
      </c>
      <c r="E3" s="11">
        <v>48</v>
      </c>
      <c r="F3" s="11">
        <v>50</v>
      </c>
      <c r="G3" s="12">
        <v>3</v>
      </c>
      <c r="H3" s="12">
        <v>3</v>
      </c>
      <c r="I3" s="12">
        <v>0</v>
      </c>
      <c r="J3" s="12">
        <v>0</v>
      </c>
      <c r="K3" s="12">
        <v>3</v>
      </c>
      <c r="L3" s="12">
        <v>1</v>
      </c>
      <c r="M3" s="12">
        <v>2</v>
      </c>
      <c r="N3" s="12">
        <v>1</v>
      </c>
      <c r="O3" s="21">
        <v>1</v>
      </c>
      <c r="Q3" s="708"/>
      <c r="R3" s="10" t="s">
        <v>13</v>
      </c>
      <c r="S3" s="14">
        <v>54</v>
      </c>
      <c r="T3" s="14">
        <v>55</v>
      </c>
      <c r="U3" s="14">
        <v>52</v>
      </c>
      <c r="V3" s="12">
        <v>1</v>
      </c>
      <c r="W3" s="12">
        <v>0</v>
      </c>
      <c r="X3" s="12">
        <v>0</v>
      </c>
      <c r="Y3" s="12">
        <v>3</v>
      </c>
      <c r="Z3" s="12">
        <v>3</v>
      </c>
      <c r="AA3" s="12">
        <v>3</v>
      </c>
      <c r="AB3" s="12">
        <v>0</v>
      </c>
      <c r="AC3" s="12">
        <v>3</v>
      </c>
      <c r="AD3" s="21">
        <v>2</v>
      </c>
    </row>
    <row r="4" spans="1:30" x14ac:dyDescent="0.25">
      <c r="B4" s="708"/>
      <c r="C4" s="10" t="s">
        <v>14</v>
      </c>
      <c r="D4" s="27">
        <v>61</v>
      </c>
      <c r="E4" s="17">
        <v>62</v>
      </c>
      <c r="F4" s="17">
        <v>63</v>
      </c>
      <c r="G4" s="12">
        <v>0</v>
      </c>
      <c r="H4" s="12">
        <v>0</v>
      </c>
      <c r="I4" s="12">
        <v>1</v>
      </c>
      <c r="J4" s="12">
        <v>1</v>
      </c>
      <c r="K4" s="12">
        <v>3</v>
      </c>
      <c r="L4" s="12">
        <v>0</v>
      </c>
      <c r="M4" s="12">
        <v>0</v>
      </c>
      <c r="N4" s="12">
        <v>0</v>
      </c>
      <c r="O4" s="21">
        <v>2</v>
      </c>
      <c r="Q4" s="708"/>
      <c r="R4" s="10" t="s">
        <v>14</v>
      </c>
      <c r="S4" s="11">
        <v>78</v>
      </c>
      <c r="T4" s="16">
        <v>72</v>
      </c>
      <c r="U4" s="11">
        <v>74</v>
      </c>
      <c r="V4" s="12">
        <v>0</v>
      </c>
      <c r="W4" s="12">
        <v>0</v>
      </c>
      <c r="X4" s="12">
        <v>2</v>
      </c>
      <c r="Y4" s="12">
        <v>1</v>
      </c>
      <c r="Z4" s="12">
        <v>0</v>
      </c>
      <c r="AA4" s="12">
        <v>1</v>
      </c>
      <c r="AB4" s="12">
        <v>2</v>
      </c>
      <c r="AC4" s="12">
        <v>1</v>
      </c>
      <c r="AD4" s="21">
        <v>4</v>
      </c>
    </row>
    <row r="5" spans="1:30" x14ac:dyDescent="0.25">
      <c r="B5" s="708"/>
      <c r="C5" s="10" t="s">
        <v>15</v>
      </c>
      <c r="D5" s="17">
        <v>63</v>
      </c>
      <c r="E5" s="17">
        <v>66</v>
      </c>
      <c r="F5" s="17">
        <v>66</v>
      </c>
      <c r="G5" s="12">
        <v>2</v>
      </c>
      <c r="H5" s="12">
        <v>1</v>
      </c>
      <c r="I5" s="12">
        <v>2</v>
      </c>
      <c r="J5" s="12">
        <v>1</v>
      </c>
      <c r="K5" s="12">
        <v>0</v>
      </c>
      <c r="L5" s="12">
        <v>0</v>
      </c>
      <c r="M5" s="12">
        <v>1</v>
      </c>
      <c r="N5" s="12">
        <v>0</v>
      </c>
      <c r="O5" s="21">
        <v>0</v>
      </c>
      <c r="Q5" s="708"/>
      <c r="R5" s="10" t="s">
        <v>15</v>
      </c>
      <c r="S5" s="17">
        <v>96</v>
      </c>
      <c r="T5" s="17">
        <v>101</v>
      </c>
      <c r="U5" s="17">
        <v>103</v>
      </c>
      <c r="V5" s="12">
        <v>1</v>
      </c>
      <c r="W5" s="12">
        <v>0</v>
      </c>
      <c r="X5" s="12">
        <v>6</v>
      </c>
      <c r="Y5" s="12">
        <v>2</v>
      </c>
      <c r="Z5" s="12">
        <v>4</v>
      </c>
      <c r="AA5" s="12">
        <v>0</v>
      </c>
      <c r="AB5" s="12">
        <v>0</v>
      </c>
      <c r="AC5" s="12">
        <v>2</v>
      </c>
      <c r="AD5" s="21">
        <v>4</v>
      </c>
    </row>
    <row r="6" spans="1:30" x14ac:dyDescent="0.25">
      <c r="B6" s="708"/>
      <c r="C6" s="10" t="s">
        <v>16</v>
      </c>
      <c r="D6" s="27">
        <v>61</v>
      </c>
      <c r="E6" s="17">
        <v>65</v>
      </c>
      <c r="F6" s="17">
        <v>66</v>
      </c>
      <c r="G6" s="12">
        <v>4</v>
      </c>
      <c r="H6" s="12">
        <v>0</v>
      </c>
      <c r="I6" s="12">
        <v>2</v>
      </c>
      <c r="J6" s="12">
        <v>1</v>
      </c>
      <c r="K6" s="12">
        <v>1</v>
      </c>
      <c r="L6" s="12">
        <v>0</v>
      </c>
      <c r="M6" s="12">
        <v>0</v>
      </c>
      <c r="N6" s="12">
        <v>2</v>
      </c>
      <c r="O6" s="21">
        <v>3</v>
      </c>
      <c r="Q6" s="708"/>
      <c r="R6" s="10" t="s">
        <v>16</v>
      </c>
      <c r="S6" s="16">
        <v>72</v>
      </c>
      <c r="T6" s="16">
        <v>73</v>
      </c>
      <c r="U6" s="31">
        <v>81</v>
      </c>
      <c r="V6" s="12">
        <v>0</v>
      </c>
      <c r="W6" s="12">
        <v>0</v>
      </c>
      <c r="X6" s="12">
        <v>2</v>
      </c>
      <c r="Y6" s="12">
        <v>6</v>
      </c>
      <c r="Z6" s="12">
        <v>0</v>
      </c>
      <c r="AA6" s="12">
        <v>1</v>
      </c>
      <c r="AB6" s="12">
        <v>2</v>
      </c>
      <c r="AC6" s="12">
        <v>2</v>
      </c>
      <c r="AD6" s="21">
        <v>0</v>
      </c>
    </row>
    <row r="7" spans="1:30" x14ac:dyDescent="0.25">
      <c r="B7" s="708"/>
      <c r="C7" s="10" t="s">
        <v>17</v>
      </c>
      <c r="D7" s="27">
        <v>57</v>
      </c>
      <c r="E7" s="17">
        <v>62</v>
      </c>
      <c r="F7" s="17">
        <v>63</v>
      </c>
      <c r="G7" s="12">
        <v>0</v>
      </c>
      <c r="H7" s="12">
        <v>0</v>
      </c>
      <c r="I7" s="12">
        <v>0</v>
      </c>
      <c r="J7" s="12">
        <v>0</v>
      </c>
      <c r="K7" s="12">
        <v>1</v>
      </c>
      <c r="L7" s="12">
        <v>1</v>
      </c>
      <c r="M7" s="12">
        <v>1</v>
      </c>
      <c r="N7" s="12">
        <v>3</v>
      </c>
      <c r="O7" s="21">
        <v>1</v>
      </c>
      <c r="Q7" s="708"/>
      <c r="R7" s="10" t="s">
        <v>17</v>
      </c>
      <c r="S7" s="27">
        <v>95</v>
      </c>
      <c r="T7" s="17">
        <v>98</v>
      </c>
      <c r="U7" s="17">
        <v>102</v>
      </c>
      <c r="V7" s="12">
        <v>0</v>
      </c>
      <c r="W7" s="12">
        <v>0</v>
      </c>
      <c r="X7" s="12">
        <v>2</v>
      </c>
      <c r="Y7" s="12">
        <v>1</v>
      </c>
      <c r="Z7" s="12">
        <v>2</v>
      </c>
      <c r="AA7" s="12">
        <v>2</v>
      </c>
      <c r="AB7" s="12">
        <v>0</v>
      </c>
      <c r="AC7" s="12">
        <v>0</v>
      </c>
      <c r="AD7" s="21">
        <v>2</v>
      </c>
    </row>
    <row r="8" spans="1:30" x14ac:dyDescent="0.25">
      <c r="B8" s="708"/>
      <c r="C8" s="10" t="s">
        <v>18</v>
      </c>
      <c r="D8" s="27">
        <v>57</v>
      </c>
      <c r="E8" s="27">
        <v>61</v>
      </c>
      <c r="F8" s="27">
        <v>60</v>
      </c>
      <c r="G8" s="12">
        <v>1</v>
      </c>
      <c r="H8" s="12">
        <v>3</v>
      </c>
      <c r="I8" s="12">
        <v>2</v>
      </c>
      <c r="J8" s="12">
        <v>0</v>
      </c>
      <c r="K8" s="12">
        <v>1</v>
      </c>
      <c r="L8" s="12">
        <v>3</v>
      </c>
      <c r="M8" s="12">
        <v>0</v>
      </c>
      <c r="N8" s="12">
        <v>0</v>
      </c>
      <c r="O8" s="21">
        <v>0</v>
      </c>
      <c r="Q8" s="708"/>
      <c r="R8" s="10" t="s">
        <v>18</v>
      </c>
      <c r="S8" s="27">
        <v>92</v>
      </c>
      <c r="T8" s="27">
        <v>90</v>
      </c>
      <c r="U8" s="27">
        <v>91</v>
      </c>
      <c r="V8" s="12">
        <v>2</v>
      </c>
      <c r="W8" s="12">
        <v>1</v>
      </c>
      <c r="X8" s="12">
        <v>1</v>
      </c>
      <c r="Y8" s="12">
        <v>2</v>
      </c>
      <c r="Z8" s="12">
        <v>2</v>
      </c>
      <c r="AA8" s="12">
        <v>1</v>
      </c>
      <c r="AB8" s="12">
        <v>0</v>
      </c>
      <c r="AC8" s="12">
        <v>0</v>
      </c>
      <c r="AD8" s="21">
        <v>0</v>
      </c>
    </row>
    <row r="9" spans="1:30" x14ac:dyDescent="0.25">
      <c r="B9" s="708"/>
      <c r="C9" s="10" t="s">
        <v>19</v>
      </c>
      <c r="D9" s="27">
        <v>61</v>
      </c>
      <c r="E9" s="17">
        <v>66</v>
      </c>
      <c r="F9" s="17">
        <v>66</v>
      </c>
      <c r="G9" s="12">
        <v>0</v>
      </c>
      <c r="H9" s="12">
        <v>2</v>
      </c>
      <c r="I9" s="12">
        <v>3</v>
      </c>
      <c r="J9" s="12">
        <v>1</v>
      </c>
      <c r="K9" s="12">
        <v>0</v>
      </c>
      <c r="L9" s="12">
        <v>0</v>
      </c>
      <c r="M9" s="12">
        <v>1</v>
      </c>
      <c r="N9" s="12">
        <v>0</v>
      </c>
      <c r="O9" s="21">
        <v>0</v>
      </c>
      <c r="Q9" s="708"/>
      <c r="R9" s="10" t="s">
        <v>19</v>
      </c>
      <c r="S9" s="12">
        <v>2</v>
      </c>
      <c r="T9" s="12">
        <v>2</v>
      </c>
      <c r="U9" s="12">
        <v>0</v>
      </c>
      <c r="V9" s="12">
        <v>0</v>
      </c>
      <c r="W9" s="12">
        <v>5</v>
      </c>
      <c r="X9" s="12">
        <v>2</v>
      </c>
      <c r="Y9" s="12">
        <v>2</v>
      </c>
      <c r="Z9" s="12">
        <v>2</v>
      </c>
      <c r="AA9" s="12">
        <v>2</v>
      </c>
      <c r="AB9" s="12">
        <v>0</v>
      </c>
      <c r="AC9" s="12">
        <v>1</v>
      </c>
      <c r="AD9" s="21">
        <v>2</v>
      </c>
    </row>
    <row r="10" spans="1:30" ht="15.75" thickBot="1" x14ac:dyDescent="0.3">
      <c r="B10" s="709"/>
      <c r="C10" s="22" t="s">
        <v>20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0</v>
      </c>
      <c r="J10" s="24">
        <v>1</v>
      </c>
      <c r="K10" s="24">
        <v>0</v>
      </c>
      <c r="L10" s="24">
        <v>0</v>
      </c>
      <c r="M10" s="24">
        <v>0</v>
      </c>
      <c r="N10" s="24">
        <v>1</v>
      </c>
      <c r="O10" s="25">
        <v>1</v>
      </c>
      <c r="Q10" s="709"/>
      <c r="R10" s="22" t="s">
        <v>20</v>
      </c>
      <c r="S10" s="24">
        <v>1</v>
      </c>
      <c r="T10" s="24">
        <v>0</v>
      </c>
      <c r="U10" s="24">
        <v>4</v>
      </c>
      <c r="V10" s="24">
        <v>1</v>
      </c>
      <c r="W10" s="24">
        <v>1</v>
      </c>
      <c r="X10" s="24">
        <v>0</v>
      </c>
      <c r="Y10" s="24">
        <v>3</v>
      </c>
      <c r="Z10" s="24">
        <v>1</v>
      </c>
      <c r="AA10" s="24">
        <v>3</v>
      </c>
      <c r="AB10" s="24">
        <v>3</v>
      </c>
      <c r="AC10" s="24">
        <v>0</v>
      </c>
      <c r="AD10" s="25">
        <v>1</v>
      </c>
    </row>
    <row r="11" spans="1:30" x14ac:dyDescent="0.25">
      <c r="B11" s="710" t="s">
        <v>29</v>
      </c>
      <c r="C11" s="18"/>
      <c r="D11" s="19">
        <v>1</v>
      </c>
      <c r="E11" s="19">
        <v>2</v>
      </c>
      <c r="F11" s="19">
        <v>3</v>
      </c>
      <c r="G11" s="19">
        <v>4</v>
      </c>
      <c r="H11" s="19">
        <v>5</v>
      </c>
      <c r="I11" s="19">
        <v>6</v>
      </c>
      <c r="J11" s="19">
        <v>7</v>
      </c>
      <c r="K11" s="19">
        <v>8</v>
      </c>
      <c r="L11" s="19">
        <v>9</v>
      </c>
      <c r="M11" s="19">
        <v>10</v>
      </c>
      <c r="N11" s="19">
        <v>11</v>
      </c>
      <c r="O11" s="20">
        <v>12</v>
      </c>
      <c r="Q11" s="707" t="s">
        <v>32</v>
      </c>
      <c r="R11" s="18"/>
      <c r="S11" s="19">
        <v>1</v>
      </c>
      <c r="T11" s="19">
        <v>2</v>
      </c>
      <c r="U11" s="19">
        <v>3</v>
      </c>
      <c r="V11" s="19">
        <v>4</v>
      </c>
      <c r="W11" s="19">
        <v>5</v>
      </c>
      <c r="X11" s="19">
        <v>6</v>
      </c>
      <c r="Y11" s="19">
        <v>7</v>
      </c>
      <c r="Z11" s="19">
        <v>8</v>
      </c>
      <c r="AA11" s="19">
        <v>9</v>
      </c>
      <c r="AB11" s="19">
        <v>10</v>
      </c>
      <c r="AC11" s="19">
        <v>11</v>
      </c>
      <c r="AD11" s="20">
        <v>12</v>
      </c>
    </row>
    <row r="12" spans="1:30" x14ac:dyDescent="0.25">
      <c r="B12" s="711"/>
      <c r="C12" s="10" t="s">
        <v>13</v>
      </c>
      <c r="D12" s="28">
        <v>47</v>
      </c>
      <c r="E12" s="28">
        <v>48</v>
      </c>
      <c r="F12" s="28">
        <v>47</v>
      </c>
      <c r="G12" s="12">
        <v>2</v>
      </c>
      <c r="H12" s="12">
        <v>0</v>
      </c>
      <c r="I12" s="12">
        <v>1</v>
      </c>
      <c r="J12" s="12">
        <v>0</v>
      </c>
      <c r="K12" s="12">
        <v>4</v>
      </c>
      <c r="L12" s="12">
        <v>1</v>
      </c>
      <c r="M12" s="12">
        <v>3</v>
      </c>
      <c r="N12" s="12">
        <v>1</v>
      </c>
      <c r="O12" s="21">
        <v>1</v>
      </c>
      <c r="Q12" s="708"/>
      <c r="R12" s="10" t="s">
        <v>13</v>
      </c>
      <c r="S12" s="27">
        <v>49</v>
      </c>
      <c r="T12" s="31">
        <v>47</v>
      </c>
      <c r="U12" s="31">
        <v>46</v>
      </c>
      <c r="V12" s="12">
        <v>2</v>
      </c>
      <c r="W12" s="12">
        <v>1</v>
      </c>
      <c r="X12" s="12">
        <v>0</v>
      </c>
      <c r="Y12" s="13">
        <v>5</v>
      </c>
      <c r="Z12" s="12">
        <v>2</v>
      </c>
      <c r="AA12" s="12">
        <v>1</v>
      </c>
      <c r="AB12" s="12">
        <v>2</v>
      </c>
      <c r="AC12" s="12">
        <v>0</v>
      </c>
      <c r="AD12" s="21">
        <v>3</v>
      </c>
    </row>
    <row r="13" spans="1:30" x14ac:dyDescent="0.25">
      <c r="B13" s="711"/>
      <c r="C13" s="10" t="s">
        <v>14</v>
      </c>
      <c r="D13" s="11">
        <v>92</v>
      </c>
      <c r="E13" s="17">
        <v>115</v>
      </c>
      <c r="F13" s="27">
        <v>108</v>
      </c>
      <c r="G13" s="12">
        <v>2</v>
      </c>
      <c r="H13" s="12">
        <v>2</v>
      </c>
      <c r="I13" s="12">
        <v>4</v>
      </c>
      <c r="J13" s="12">
        <v>1</v>
      </c>
      <c r="K13" s="12">
        <v>4</v>
      </c>
      <c r="L13" s="12">
        <v>0</v>
      </c>
      <c r="M13" s="12">
        <v>0</v>
      </c>
      <c r="N13" s="12">
        <v>2</v>
      </c>
      <c r="O13" s="21">
        <v>1</v>
      </c>
      <c r="Q13" s="708"/>
      <c r="R13" s="10" t="s">
        <v>14</v>
      </c>
      <c r="S13" s="27">
        <v>50</v>
      </c>
      <c r="T13" s="17">
        <v>57</v>
      </c>
      <c r="U13" s="17">
        <v>55</v>
      </c>
      <c r="V13" s="12">
        <v>0</v>
      </c>
      <c r="W13" s="12">
        <v>3</v>
      </c>
      <c r="X13" s="12">
        <v>3</v>
      </c>
      <c r="Y13" s="12">
        <v>0</v>
      </c>
      <c r="Z13" s="12">
        <v>0</v>
      </c>
      <c r="AA13" s="12">
        <v>0</v>
      </c>
      <c r="AB13" s="12">
        <v>0</v>
      </c>
      <c r="AC13" s="12">
        <v>2</v>
      </c>
      <c r="AD13" s="21">
        <v>0</v>
      </c>
    </row>
    <row r="14" spans="1:30" x14ac:dyDescent="0.25">
      <c r="B14" s="711"/>
      <c r="C14" s="10" t="s">
        <v>15</v>
      </c>
      <c r="D14" s="16">
        <v>78</v>
      </c>
      <c r="E14" s="16">
        <v>82</v>
      </c>
      <c r="F14" s="16">
        <v>77</v>
      </c>
      <c r="G14" s="12">
        <v>1</v>
      </c>
      <c r="H14" s="12">
        <v>0</v>
      </c>
      <c r="I14" s="12">
        <v>7</v>
      </c>
      <c r="J14" s="12">
        <v>0</v>
      </c>
      <c r="K14" s="12">
        <v>2</v>
      </c>
      <c r="L14" s="12">
        <v>2</v>
      </c>
      <c r="M14" s="12">
        <v>3</v>
      </c>
      <c r="N14" s="12">
        <v>0</v>
      </c>
      <c r="O14" s="21">
        <v>1</v>
      </c>
      <c r="Q14" s="708"/>
      <c r="R14" s="10" t="s">
        <v>15</v>
      </c>
      <c r="S14" s="27">
        <v>50</v>
      </c>
      <c r="T14" s="17">
        <v>55</v>
      </c>
      <c r="U14" s="17">
        <v>53</v>
      </c>
      <c r="V14" s="12">
        <v>0</v>
      </c>
      <c r="W14" s="12">
        <v>3</v>
      </c>
      <c r="X14" s="12">
        <v>0</v>
      </c>
      <c r="Y14" s="12">
        <v>0</v>
      </c>
      <c r="Z14" s="12">
        <v>1</v>
      </c>
      <c r="AA14" s="12">
        <v>0</v>
      </c>
      <c r="AB14" s="12">
        <v>2</v>
      </c>
      <c r="AC14" s="12">
        <v>3</v>
      </c>
      <c r="AD14" s="21">
        <v>2</v>
      </c>
    </row>
    <row r="15" spans="1:30" x14ac:dyDescent="0.25">
      <c r="B15" s="711"/>
      <c r="C15" s="10" t="s">
        <v>16</v>
      </c>
      <c r="D15" s="17">
        <v>118</v>
      </c>
      <c r="E15" s="17">
        <v>111</v>
      </c>
      <c r="F15" s="17">
        <v>117</v>
      </c>
      <c r="G15" s="12">
        <v>0</v>
      </c>
      <c r="H15" s="12">
        <v>2</v>
      </c>
      <c r="I15" s="12">
        <v>3</v>
      </c>
      <c r="J15" s="12">
        <v>0</v>
      </c>
      <c r="K15" s="12">
        <v>3</v>
      </c>
      <c r="L15" s="12">
        <v>2</v>
      </c>
      <c r="M15" s="12">
        <v>1</v>
      </c>
      <c r="N15" s="12">
        <v>3</v>
      </c>
      <c r="O15" s="21">
        <v>0</v>
      </c>
      <c r="Q15" s="708"/>
      <c r="R15" s="10" t="s">
        <v>16</v>
      </c>
      <c r="S15" s="17">
        <v>53</v>
      </c>
      <c r="T15" s="17">
        <v>53</v>
      </c>
      <c r="U15" s="27">
        <v>52</v>
      </c>
      <c r="V15" s="12">
        <v>1</v>
      </c>
      <c r="W15" s="12">
        <v>0</v>
      </c>
      <c r="X15" s="12">
        <v>3</v>
      </c>
      <c r="Y15" s="12">
        <v>0</v>
      </c>
      <c r="Z15" s="12">
        <v>1</v>
      </c>
      <c r="AA15" s="12">
        <v>0</v>
      </c>
      <c r="AB15" s="12">
        <v>1</v>
      </c>
      <c r="AC15" s="12">
        <v>1</v>
      </c>
      <c r="AD15" s="21">
        <v>2</v>
      </c>
    </row>
    <row r="16" spans="1:30" x14ac:dyDescent="0.25">
      <c r="B16" s="711"/>
      <c r="C16" s="10" t="s">
        <v>17</v>
      </c>
      <c r="D16" s="15">
        <v>74</v>
      </c>
      <c r="E16" s="15">
        <v>73</v>
      </c>
      <c r="F16" s="16">
        <v>76</v>
      </c>
      <c r="G16" s="12">
        <v>0</v>
      </c>
      <c r="H16" s="12">
        <v>2</v>
      </c>
      <c r="I16" s="12">
        <v>3</v>
      </c>
      <c r="J16" s="12">
        <v>0</v>
      </c>
      <c r="K16" s="12">
        <v>3</v>
      </c>
      <c r="L16" s="12">
        <v>5</v>
      </c>
      <c r="M16" s="12">
        <v>3</v>
      </c>
      <c r="N16" s="12">
        <v>2</v>
      </c>
      <c r="O16" s="21">
        <v>1</v>
      </c>
      <c r="Q16" s="708"/>
      <c r="R16" s="10" t="s">
        <v>17</v>
      </c>
      <c r="S16" s="27">
        <v>49</v>
      </c>
      <c r="T16" s="17">
        <v>53</v>
      </c>
      <c r="U16" s="17">
        <v>56</v>
      </c>
      <c r="V16" s="12">
        <v>2</v>
      </c>
      <c r="W16" s="12">
        <v>1</v>
      </c>
      <c r="X16" s="13">
        <v>5</v>
      </c>
      <c r="Y16" s="13">
        <v>6</v>
      </c>
      <c r="Z16" s="12">
        <v>1</v>
      </c>
      <c r="AA16" s="12">
        <v>0</v>
      </c>
      <c r="AB16" s="12">
        <v>3</v>
      </c>
      <c r="AC16" s="12">
        <v>1</v>
      </c>
      <c r="AD16" s="21">
        <v>2</v>
      </c>
    </row>
    <row r="17" spans="2:30" x14ac:dyDescent="0.25">
      <c r="B17" s="711"/>
      <c r="C17" s="10" t="s">
        <v>18</v>
      </c>
      <c r="D17" s="31">
        <v>93</v>
      </c>
      <c r="E17" s="31">
        <v>98</v>
      </c>
      <c r="F17" s="31">
        <v>98</v>
      </c>
      <c r="G17" s="12">
        <v>3</v>
      </c>
      <c r="H17" s="12">
        <v>0</v>
      </c>
      <c r="I17" s="12">
        <v>4</v>
      </c>
      <c r="J17" s="12">
        <v>0</v>
      </c>
      <c r="K17" s="12">
        <v>2</v>
      </c>
      <c r="L17" s="12">
        <v>0</v>
      </c>
      <c r="M17" s="12">
        <v>0</v>
      </c>
      <c r="N17" s="12">
        <v>2</v>
      </c>
      <c r="O17" s="21">
        <v>1</v>
      </c>
      <c r="Q17" s="708"/>
      <c r="R17" s="10" t="s">
        <v>18</v>
      </c>
      <c r="S17" s="31">
        <v>49</v>
      </c>
      <c r="T17" s="27">
        <v>51</v>
      </c>
      <c r="U17" s="27">
        <v>50</v>
      </c>
      <c r="V17" s="12">
        <v>0</v>
      </c>
      <c r="W17" s="12">
        <v>0</v>
      </c>
      <c r="X17" s="12">
        <v>0</v>
      </c>
      <c r="Y17" s="12">
        <v>2</v>
      </c>
      <c r="Z17" s="12">
        <v>0</v>
      </c>
      <c r="AA17" s="12">
        <v>1</v>
      </c>
      <c r="AB17" s="12">
        <v>1</v>
      </c>
      <c r="AC17" s="12">
        <v>1</v>
      </c>
      <c r="AD17" s="21">
        <v>2</v>
      </c>
    </row>
    <row r="18" spans="2:30" x14ac:dyDescent="0.25">
      <c r="B18" s="711"/>
      <c r="C18" s="10" t="s">
        <v>19</v>
      </c>
      <c r="D18" s="15">
        <v>71</v>
      </c>
      <c r="E18" s="15">
        <v>74</v>
      </c>
      <c r="F18" s="16">
        <v>78</v>
      </c>
      <c r="G18" s="12">
        <v>1</v>
      </c>
      <c r="H18" s="12">
        <v>2</v>
      </c>
      <c r="I18" s="12">
        <v>2</v>
      </c>
      <c r="J18" s="12">
        <v>3</v>
      </c>
      <c r="K18" s="12">
        <v>2</v>
      </c>
      <c r="L18" s="12">
        <v>2</v>
      </c>
      <c r="M18" s="12">
        <v>2</v>
      </c>
      <c r="N18" s="12">
        <v>3</v>
      </c>
      <c r="O18" s="21">
        <v>2</v>
      </c>
      <c r="Q18" s="708"/>
      <c r="R18" s="10" t="s">
        <v>19</v>
      </c>
      <c r="S18" s="14">
        <v>31</v>
      </c>
      <c r="T18" s="16">
        <v>37</v>
      </c>
      <c r="U18" s="16">
        <v>39</v>
      </c>
      <c r="V18" s="12">
        <v>2</v>
      </c>
      <c r="W18" s="12">
        <v>1</v>
      </c>
      <c r="X18" s="12">
        <v>1</v>
      </c>
      <c r="Y18" s="12">
        <v>3</v>
      </c>
      <c r="Z18" s="12">
        <v>0</v>
      </c>
      <c r="AA18" s="12">
        <v>3</v>
      </c>
      <c r="AB18" s="12">
        <v>0</v>
      </c>
      <c r="AC18" s="12">
        <v>1</v>
      </c>
      <c r="AD18" s="21">
        <v>4</v>
      </c>
    </row>
    <row r="19" spans="2:30" ht="15.75" thickBot="1" x14ac:dyDescent="0.3">
      <c r="B19" s="712"/>
      <c r="C19" s="22" t="s">
        <v>20</v>
      </c>
      <c r="D19" s="24">
        <v>4</v>
      </c>
      <c r="E19" s="24">
        <v>2</v>
      </c>
      <c r="F19" s="24">
        <v>0</v>
      </c>
      <c r="G19" s="24">
        <v>3</v>
      </c>
      <c r="H19" s="24">
        <v>1</v>
      </c>
      <c r="I19" s="24">
        <v>1</v>
      </c>
      <c r="J19" s="24">
        <v>2</v>
      </c>
      <c r="K19" s="24">
        <v>1</v>
      </c>
      <c r="L19" s="24">
        <v>0</v>
      </c>
      <c r="M19" s="24">
        <v>0</v>
      </c>
      <c r="N19" s="24">
        <v>0</v>
      </c>
      <c r="O19" s="25">
        <v>2</v>
      </c>
      <c r="Q19" s="709"/>
      <c r="R19" s="22" t="s">
        <v>20</v>
      </c>
      <c r="S19" s="24">
        <v>1</v>
      </c>
      <c r="T19" s="24">
        <v>3</v>
      </c>
      <c r="U19" s="24">
        <v>2</v>
      </c>
      <c r="V19" s="24">
        <v>0</v>
      </c>
      <c r="W19" s="24">
        <v>3</v>
      </c>
      <c r="X19" s="24">
        <v>0</v>
      </c>
      <c r="Y19" s="24">
        <v>1</v>
      </c>
      <c r="Z19" s="24">
        <v>0</v>
      </c>
      <c r="AA19" s="24">
        <v>2</v>
      </c>
      <c r="AB19" s="24">
        <v>1</v>
      </c>
      <c r="AC19" s="24">
        <v>0</v>
      </c>
      <c r="AD19" s="25">
        <v>2</v>
      </c>
    </row>
    <row r="20" spans="2:30" x14ac:dyDescent="0.25">
      <c r="B20" s="707" t="s">
        <v>30</v>
      </c>
      <c r="C20" s="18"/>
      <c r="D20" s="19">
        <v>1</v>
      </c>
      <c r="E20" s="19">
        <v>2</v>
      </c>
      <c r="F20" s="19">
        <v>3</v>
      </c>
      <c r="G20" s="19">
        <v>4</v>
      </c>
      <c r="H20" s="19">
        <v>5</v>
      </c>
      <c r="I20" s="19">
        <v>6</v>
      </c>
      <c r="J20" s="19">
        <v>7</v>
      </c>
      <c r="K20" s="19">
        <v>8</v>
      </c>
      <c r="L20" s="19">
        <v>9</v>
      </c>
      <c r="M20" s="19">
        <v>10</v>
      </c>
      <c r="N20" s="19">
        <v>11</v>
      </c>
      <c r="O20" s="20">
        <v>12</v>
      </c>
      <c r="Q20" s="707" t="s">
        <v>33</v>
      </c>
      <c r="R20" s="18"/>
      <c r="S20" s="19">
        <v>1</v>
      </c>
      <c r="T20" s="19">
        <v>2</v>
      </c>
      <c r="U20" s="19">
        <v>3</v>
      </c>
      <c r="V20" s="19">
        <v>4</v>
      </c>
      <c r="W20" s="19">
        <v>5</v>
      </c>
      <c r="X20" s="19">
        <v>6</v>
      </c>
      <c r="Y20" s="19">
        <v>7</v>
      </c>
      <c r="Z20" s="19">
        <v>8</v>
      </c>
      <c r="AA20" s="19">
        <v>9</v>
      </c>
      <c r="AB20" s="19">
        <v>10</v>
      </c>
      <c r="AC20" s="19">
        <v>11</v>
      </c>
      <c r="AD20" s="20">
        <v>12</v>
      </c>
    </row>
    <row r="21" spans="2:30" x14ac:dyDescent="0.25">
      <c r="B21" s="708"/>
      <c r="C21" s="10" t="s">
        <v>13</v>
      </c>
      <c r="D21" s="15">
        <v>34</v>
      </c>
      <c r="E21" s="15">
        <v>37</v>
      </c>
      <c r="F21" s="15">
        <v>37</v>
      </c>
      <c r="G21" s="12">
        <v>3</v>
      </c>
      <c r="H21" s="12">
        <v>1</v>
      </c>
      <c r="I21" s="12">
        <v>2</v>
      </c>
      <c r="J21" s="12">
        <v>3</v>
      </c>
      <c r="K21" s="12">
        <v>2</v>
      </c>
      <c r="L21" s="12">
        <v>4</v>
      </c>
      <c r="M21" s="12">
        <v>1</v>
      </c>
      <c r="N21" s="12">
        <v>3</v>
      </c>
      <c r="O21" s="21">
        <v>3</v>
      </c>
      <c r="Q21" s="708"/>
      <c r="R21" s="10" t="s">
        <v>13</v>
      </c>
      <c r="S21" s="16">
        <v>46</v>
      </c>
      <c r="T21" s="15">
        <v>44</v>
      </c>
      <c r="U21" s="15">
        <v>45</v>
      </c>
      <c r="V21" s="12">
        <v>3</v>
      </c>
      <c r="W21" s="12">
        <v>2</v>
      </c>
      <c r="X21" s="12">
        <v>5</v>
      </c>
      <c r="Y21" s="12">
        <v>3</v>
      </c>
      <c r="Z21" s="12">
        <v>0</v>
      </c>
      <c r="AA21" s="12">
        <v>0</v>
      </c>
      <c r="AB21" s="12">
        <v>2</v>
      </c>
      <c r="AC21" s="12">
        <v>0</v>
      </c>
      <c r="AD21" s="21">
        <v>0</v>
      </c>
    </row>
    <row r="22" spans="2:30" x14ac:dyDescent="0.25">
      <c r="B22" s="708"/>
      <c r="C22" s="10" t="s">
        <v>14</v>
      </c>
      <c r="D22" s="16">
        <v>38</v>
      </c>
      <c r="E22" s="16">
        <v>41</v>
      </c>
      <c r="F22" s="11">
        <v>45</v>
      </c>
      <c r="G22" s="12">
        <v>1</v>
      </c>
      <c r="H22" s="13">
        <v>5</v>
      </c>
      <c r="I22" s="12">
        <v>3</v>
      </c>
      <c r="J22" s="12">
        <v>2</v>
      </c>
      <c r="K22" s="12">
        <v>3</v>
      </c>
      <c r="L22" s="12">
        <v>4</v>
      </c>
      <c r="M22" s="13">
        <v>6</v>
      </c>
      <c r="N22" s="12">
        <v>4</v>
      </c>
      <c r="O22" s="21">
        <v>2</v>
      </c>
      <c r="Q22" s="708"/>
      <c r="R22" s="10" t="s">
        <v>14</v>
      </c>
      <c r="S22" s="31">
        <v>58</v>
      </c>
      <c r="T22" s="17">
        <v>71</v>
      </c>
      <c r="U22" s="17">
        <v>68</v>
      </c>
      <c r="V22" s="12">
        <v>0</v>
      </c>
      <c r="W22" s="12">
        <v>1</v>
      </c>
      <c r="X22" s="12">
        <v>0</v>
      </c>
      <c r="Y22" s="13">
        <v>6</v>
      </c>
      <c r="Z22" s="12">
        <v>1</v>
      </c>
      <c r="AA22" s="12">
        <v>1</v>
      </c>
      <c r="AB22" s="12">
        <v>1</v>
      </c>
      <c r="AC22" s="13">
        <v>6</v>
      </c>
      <c r="AD22" s="21">
        <v>1</v>
      </c>
    </row>
    <row r="23" spans="2:30" x14ac:dyDescent="0.25">
      <c r="B23" s="708"/>
      <c r="C23" s="10" t="s">
        <v>15</v>
      </c>
      <c r="D23" s="14">
        <v>33</v>
      </c>
      <c r="E23" s="16">
        <v>38</v>
      </c>
      <c r="F23" s="15">
        <v>36</v>
      </c>
      <c r="G23" s="12">
        <v>0</v>
      </c>
      <c r="H23" s="12">
        <v>4</v>
      </c>
      <c r="I23" s="13">
        <v>5</v>
      </c>
      <c r="J23" s="13">
        <v>5</v>
      </c>
      <c r="K23" s="12">
        <v>1</v>
      </c>
      <c r="L23" s="12">
        <v>3</v>
      </c>
      <c r="M23" s="12">
        <v>3</v>
      </c>
      <c r="N23" s="12">
        <v>4</v>
      </c>
      <c r="O23" s="30">
        <v>5</v>
      </c>
      <c r="Q23" s="708"/>
      <c r="R23" s="10" t="s">
        <v>15</v>
      </c>
      <c r="S23" s="31">
        <v>56</v>
      </c>
      <c r="T23" s="27">
        <v>63</v>
      </c>
      <c r="U23" s="27">
        <v>64</v>
      </c>
      <c r="V23" s="12">
        <v>0</v>
      </c>
      <c r="W23" s="12">
        <v>0</v>
      </c>
      <c r="X23" s="13">
        <v>7</v>
      </c>
      <c r="Y23" s="12">
        <v>2</v>
      </c>
      <c r="Z23" s="12">
        <v>2</v>
      </c>
      <c r="AA23" s="12">
        <v>1</v>
      </c>
      <c r="AB23" s="12">
        <v>1</v>
      </c>
      <c r="AC23" s="12">
        <v>1</v>
      </c>
      <c r="AD23" s="21">
        <v>1</v>
      </c>
    </row>
    <row r="24" spans="2:30" x14ac:dyDescent="0.25">
      <c r="B24" s="708"/>
      <c r="C24" s="10" t="s">
        <v>16</v>
      </c>
      <c r="D24" s="31">
        <v>48</v>
      </c>
      <c r="E24" s="17">
        <v>56</v>
      </c>
      <c r="F24" s="17">
        <v>59</v>
      </c>
      <c r="G24" s="12">
        <v>2</v>
      </c>
      <c r="H24" s="12">
        <v>4</v>
      </c>
      <c r="I24" s="12">
        <v>4</v>
      </c>
      <c r="J24" s="12">
        <v>3</v>
      </c>
      <c r="K24" s="13">
        <v>5</v>
      </c>
      <c r="L24" s="12">
        <v>1</v>
      </c>
      <c r="M24" s="13">
        <v>5</v>
      </c>
      <c r="N24" s="13">
        <v>6</v>
      </c>
      <c r="O24" s="21">
        <v>3</v>
      </c>
      <c r="Q24" s="708"/>
      <c r="R24" s="10" t="s">
        <v>16</v>
      </c>
      <c r="S24" s="11">
        <v>55</v>
      </c>
      <c r="T24" s="31">
        <v>60</v>
      </c>
      <c r="U24" s="27">
        <v>61</v>
      </c>
      <c r="V24" s="12">
        <v>3</v>
      </c>
      <c r="W24" s="12">
        <v>0</v>
      </c>
      <c r="X24" s="12">
        <v>1</v>
      </c>
      <c r="Y24" s="12">
        <v>1</v>
      </c>
      <c r="Z24" s="12">
        <v>2</v>
      </c>
      <c r="AA24" s="12">
        <v>1</v>
      </c>
      <c r="AB24" s="12">
        <v>0</v>
      </c>
      <c r="AC24" s="12">
        <v>3</v>
      </c>
      <c r="AD24" s="21">
        <v>0</v>
      </c>
    </row>
    <row r="25" spans="2:30" x14ac:dyDescent="0.25">
      <c r="B25" s="708"/>
      <c r="C25" s="10" t="s">
        <v>17</v>
      </c>
      <c r="D25" s="26">
        <v>29</v>
      </c>
      <c r="E25" s="26">
        <v>28</v>
      </c>
      <c r="F25" s="28">
        <v>27</v>
      </c>
      <c r="G25" s="13">
        <v>6</v>
      </c>
      <c r="H25" s="12">
        <v>3</v>
      </c>
      <c r="I25" s="13">
        <v>5</v>
      </c>
      <c r="J25" s="13">
        <v>7</v>
      </c>
      <c r="K25" s="13">
        <v>7</v>
      </c>
      <c r="L25" s="13">
        <v>6</v>
      </c>
      <c r="M25" s="12">
        <v>2</v>
      </c>
      <c r="N25" s="12">
        <v>3</v>
      </c>
      <c r="O25" s="21">
        <v>2</v>
      </c>
      <c r="Q25" s="708"/>
      <c r="R25" s="10" t="s">
        <v>17</v>
      </c>
      <c r="S25" s="11">
        <v>52</v>
      </c>
      <c r="T25" s="31">
        <v>58</v>
      </c>
      <c r="U25" s="27">
        <v>62</v>
      </c>
      <c r="V25" s="12">
        <v>0</v>
      </c>
      <c r="W25" s="12">
        <v>1</v>
      </c>
      <c r="X25" s="12">
        <v>2</v>
      </c>
      <c r="Y25" s="12">
        <v>3</v>
      </c>
      <c r="Z25" s="12">
        <v>1</v>
      </c>
      <c r="AA25" s="12">
        <v>3</v>
      </c>
      <c r="AB25" s="12">
        <v>2</v>
      </c>
      <c r="AC25" s="12">
        <v>1</v>
      </c>
      <c r="AD25" s="21">
        <v>3</v>
      </c>
    </row>
    <row r="26" spans="2:30" x14ac:dyDescent="0.25">
      <c r="B26" s="708"/>
      <c r="C26" s="10" t="s">
        <v>18</v>
      </c>
      <c r="D26" s="27">
        <v>52</v>
      </c>
      <c r="E26" s="17">
        <v>56</v>
      </c>
      <c r="F26" s="27">
        <v>54</v>
      </c>
      <c r="G26" s="13">
        <v>6</v>
      </c>
      <c r="H26" s="12">
        <v>0</v>
      </c>
      <c r="I26" s="13">
        <v>5</v>
      </c>
      <c r="J26" s="12">
        <v>2</v>
      </c>
      <c r="K26" s="12">
        <v>4</v>
      </c>
      <c r="L26" s="12">
        <v>0</v>
      </c>
      <c r="M26" s="12">
        <v>4</v>
      </c>
      <c r="N26" s="12">
        <v>1</v>
      </c>
      <c r="O26" s="21">
        <v>3</v>
      </c>
      <c r="Q26" s="708"/>
      <c r="R26" s="10" t="s">
        <v>18</v>
      </c>
      <c r="S26" s="11">
        <v>55</v>
      </c>
      <c r="T26" s="27">
        <v>63</v>
      </c>
      <c r="U26" s="27">
        <v>64</v>
      </c>
      <c r="V26" s="12">
        <v>1</v>
      </c>
      <c r="W26" s="12">
        <v>3</v>
      </c>
      <c r="X26" s="12">
        <v>0</v>
      </c>
      <c r="Y26" s="12">
        <v>1</v>
      </c>
      <c r="Z26" s="12">
        <v>2</v>
      </c>
      <c r="AA26" s="12">
        <v>0</v>
      </c>
      <c r="AB26" s="12">
        <v>0</v>
      </c>
      <c r="AC26" s="12">
        <v>0</v>
      </c>
      <c r="AD26" s="21">
        <v>1</v>
      </c>
    </row>
    <row r="27" spans="2:30" x14ac:dyDescent="0.25">
      <c r="B27" s="708"/>
      <c r="C27" s="10" t="s">
        <v>19</v>
      </c>
      <c r="D27" s="27">
        <v>51</v>
      </c>
      <c r="E27" s="27">
        <v>54</v>
      </c>
      <c r="F27" s="27">
        <v>51</v>
      </c>
      <c r="G27" s="13">
        <v>6</v>
      </c>
      <c r="H27" s="13">
        <v>5</v>
      </c>
      <c r="I27" s="12">
        <v>3</v>
      </c>
      <c r="J27" s="13">
        <v>5</v>
      </c>
      <c r="K27" s="12">
        <v>1</v>
      </c>
      <c r="L27" s="12">
        <v>0</v>
      </c>
      <c r="M27" s="12">
        <v>2</v>
      </c>
      <c r="N27" s="12">
        <v>3</v>
      </c>
      <c r="O27" s="21">
        <v>2</v>
      </c>
      <c r="Q27" s="708"/>
      <c r="R27" s="10" t="s">
        <v>19</v>
      </c>
      <c r="S27" s="11">
        <v>55</v>
      </c>
      <c r="T27" s="31">
        <v>60</v>
      </c>
      <c r="U27" s="27">
        <v>63</v>
      </c>
      <c r="V27" s="12">
        <v>0</v>
      </c>
      <c r="W27" s="12">
        <v>1</v>
      </c>
      <c r="X27" s="12">
        <v>2</v>
      </c>
      <c r="Y27" s="12">
        <v>1</v>
      </c>
      <c r="Z27" s="12">
        <v>3</v>
      </c>
      <c r="AA27" s="12">
        <v>2</v>
      </c>
      <c r="AB27" s="12">
        <v>0</v>
      </c>
      <c r="AC27" s="12">
        <v>2</v>
      </c>
      <c r="AD27" s="21">
        <v>4</v>
      </c>
    </row>
    <row r="28" spans="2:30" ht="15.75" thickBot="1" x14ac:dyDescent="0.3">
      <c r="B28" s="709"/>
      <c r="C28" s="22" t="s">
        <v>20</v>
      </c>
      <c r="D28" s="24">
        <v>3</v>
      </c>
      <c r="E28" s="24">
        <v>3</v>
      </c>
      <c r="F28" s="24">
        <v>3</v>
      </c>
      <c r="G28" s="24">
        <v>2</v>
      </c>
      <c r="H28" s="24">
        <v>0</v>
      </c>
      <c r="I28" s="24">
        <v>2</v>
      </c>
      <c r="J28" s="24">
        <v>4</v>
      </c>
      <c r="K28" s="24">
        <v>3</v>
      </c>
      <c r="L28" s="24">
        <v>1</v>
      </c>
      <c r="M28" s="23">
        <v>6</v>
      </c>
      <c r="N28" s="24">
        <v>2</v>
      </c>
      <c r="O28" s="25">
        <v>0</v>
      </c>
      <c r="Q28" s="709"/>
      <c r="R28" s="22" t="s">
        <v>20</v>
      </c>
      <c r="S28" s="24">
        <v>0</v>
      </c>
      <c r="T28" s="24">
        <v>1</v>
      </c>
      <c r="U28" s="24">
        <v>2</v>
      </c>
      <c r="V28" s="24">
        <v>0</v>
      </c>
      <c r="W28" s="24">
        <v>0</v>
      </c>
      <c r="X28" s="24">
        <v>0</v>
      </c>
      <c r="Y28" s="24">
        <v>2</v>
      </c>
      <c r="Z28" s="24">
        <v>0</v>
      </c>
      <c r="AA28" s="24">
        <v>0</v>
      </c>
      <c r="AB28" s="24">
        <v>0</v>
      </c>
      <c r="AC28" s="24">
        <v>0</v>
      </c>
      <c r="AD28" s="25">
        <v>0</v>
      </c>
    </row>
    <row r="29" spans="2:30" x14ac:dyDescent="0.25">
      <c r="B29" s="713" t="s">
        <v>61</v>
      </c>
      <c r="C29" s="18"/>
      <c r="D29" s="19">
        <v>1</v>
      </c>
      <c r="E29" s="19">
        <v>2</v>
      </c>
      <c r="F29" s="19">
        <v>3</v>
      </c>
      <c r="G29" s="19">
        <v>4</v>
      </c>
      <c r="H29" s="19">
        <v>5</v>
      </c>
      <c r="I29" s="19">
        <v>6</v>
      </c>
      <c r="J29" s="19">
        <v>7</v>
      </c>
      <c r="K29" s="19">
        <v>8</v>
      </c>
      <c r="L29" s="19">
        <v>9</v>
      </c>
      <c r="M29" s="19">
        <v>10</v>
      </c>
      <c r="N29" s="19">
        <v>11</v>
      </c>
      <c r="O29" s="20">
        <v>12</v>
      </c>
      <c r="Q29" s="713" t="s">
        <v>188</v>
      </c>
      <c r="R29" s="18"/>
      <c r="S29" s="19">
        <v>1</v>
      </c>
      <c r="T29" s="19">
        <v>2</v>
      </c>
      <c r="U29" s="19">
        <v>3</v>
      </c>
      <c r="V29" s="19">
        <v>4</v>
      </c>
      <c r="W29" s="19">
        <v>5</v>
      </c>
      <c r="X29" s="19">
        <v>6</v>
      </c>
      <c r="Y29" s="19">
        <v>7</v>
      </c>
      <c r="Z29" s="19">
        <v>8</v>
      </c>
      <c r="AA29" s="19">
        <v>9</v>
      </c>
      <c r="AB29" s="19">
        <v>10</v>
      </c>
      <c r="AC29" s="19">
        <v>11</v>
      </c>
      <c r="AD29" s="20">
        <v>12</v>
      </c>
    </row>
    <row r="30" spans="2:30" x14ac:dyDescent="0.25">
      <c r="B30" s="714"/>
      <c r="C30" s="10" t="s">
        <v>13</v>
      </c>
      <c r="D30" s="29">
        <v>44</v>
      </c>
      <c r="E30" s="28">
        <v>45</v>
      </c>
      <c r="F30" s="28">
        <v>46</v>
      </c>
      <c r="G30" s="12">
        <v>1</v>
      </c>
      <c r="H30" s="12">
        <v>2</v>
      </c>
      <c r="I30" s="12">
        <v>1</v>
      </c>
      <c r="J30" s="12">
        <v>2</v>
      </c>
      <c r="K30" s="12">
        <v>0</v>
      </c>
      <c r="L30" s="12">
        <v>2</v>
      </c>
      <c r="M30" s="12">
        <v>0</v>
      </c>
      <c r="N30" s="12">
        <v>0</v>
      </c>
      <c r="O30" s="21">
        <v>0</v>
      </c>
      <c r="Q30" s="714"/>
      <c r="R30" s="10" t="s">
        <v>13</v>
      </c>
      <c r="S30" s="107">
        <v>60</v>
      </c>
      <c r="T30" s="13">
        <v>59</v>
      </c>
      <c r="U30" s="107">
        <v>60</v>
      </c>
      <c r="V30" s="12">
        <v>4</v>
      </c>
      <c r="W30" s="12">
        <v>0</v>
      </c>
      <c r="X30" s="12">
        <v>1</v>
      </c>
      <c r="Y30" s="12">
        <v>0</v>
      </c>
      <c r="Z30" s="12">
        <v>4</v>
      </c>
      <c r="AA30" s="12">
        <v>0</v>
      </c>
      <c r="AB30" s="12">
        <v>2</v>
      </c>
      <c r="AC30" s="12">
        <v>1</v>
      </c>
      <c r="AD30" s="21">
        <v>1</v>
      </c>
    </row>
    <row r="31" spans="2:30" x14ac:dyDescent="0.25">
      <c r="B31" s="714"/>
      <c r="C31" s="10" t="s">
        <v>14</v>
      </c>
      <c r="D31" s="17">
        <v>120</v>
      </c>
      <c r="E31" s="17">
        <v>123</v>
      </c>
      <c r="F31" s="17">
        <v>124</v>
      </c>
      <c r="G31" s="12">
        <v>1</v>
      </c>
      <c r="H31" s="12">
        <v>0</v>
      </c>
      <c r="I31" s="12">
        <v>2</v>
      </c>
      <c r="J31" s="12">
        <v>1</v>
      </c>
      <c r="K31" s="12">
        <v>1</v>
      </c>
      <c r="L31" s="12">
        <v>4</v>
      </c>
      <c r="M31" s="12">
        <v>2</v>
      </c>
      <c r="N31" s="12">
        <v>2</v>
      </c>
      <c r="O31" s="21">
        <v>0</v>
      </c>
      <c r="Q31" s="714"/>
      <c r="R31" s="10" t="s">
        <v>14</v>
      </c>
      <c r="S31" s="26">
        <v>158</v>
      </c>
      <c r="T31" s="26">
        <v>156</v>
      </c>
      <c r="U31" s="26">
        <v>156</v>
      </c>
      <c r="V31" s="12">
        <v>0</v>
      </c>
      <c r="W31" s="12">
        <v>4</v>
      </c>
      <c r="X31" s="12">
        <v>0</v>
      </c>
      <c r="Y31" s="12">
        <v>0</v>
      </c>
      <c r="Z31" s="12">
        <v>0</v>
      </c>
      <c r="AA31" s="12">
        <v>3</v>
      </c>
      <c r="AB31" s="12">
        <v>4</v>
      </c>
      <c r="AC31" s="12">
        <v>0</v>
      </c>
      <c r="AD31" s="21">
        <v>0</v>
      </c>
    </row>
    <row r="32" spans="2:30" x14ac:dyDescent="0.25">
      <c r="B32" s="714"/>
      <c r="C32" s="10" t="s">
        <v>15</v>
      </c>
      <c r="D32" s="15">
        <v>79</v>
      </c>
      <c r="E32" s="16">
        <v>83</v>
      </c>
      <c r="F32" s="15">
        <v>79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2</v>
      </c>
      <c r="M32" s="12">
        <v>0</v>
      </c>
      <c r="N32" s="12">
        <v>0</v>
      </c>
      <c r="O32" s="21">
        <v>1</v>
      </c>
      <c r="Q32" s="714"/>
      <c r="R32" s="10" t="s">
        <v>15</v>
      </c>
      <c r="S32" s="17">
        <v>419</v>
      </c>
      <c r="T32" s="27">
        <v>389</v>
      </c>
      <c r="U32" s="17">
        <v>399</v>
      </c>
      <c r="V32" s="12">
        <v>4</v>
      </c>
      <c r="W32" s="12">
        <v>2</v>
      </c>
      <c r="X32" s="12">
        <v>1</v>
      </c>
      <c r="Y32" s="12">
        <v>5</v>
      </c>
      <c r="Z32" s="12">
        <v>2</v>
      </c>
      <c r="AA32" s="12">
        <v>4</v>
      </c>
      <c r="AB32" s="12">
        <v>0</v>
      </c>
      <c r="AC32" s="12">
        <v>1</v>
      </c>
      <c r="AD32" s="21">
        <v>1</v>
      </c>
    </row>
    <row r="33" spans="2:30" x14ac:dyDescent="0.25">
      <c r="B33" s="714"/>
      <c r="C33" s="10" t="s">
        <v>16</v>
      </c>
      <c r="D33" s="11">
        <v>96</v>
      </c>
      <c r="E33" s="31">
        <v>98</v>
      </c>
      <c r="F33" s="31">
        <v>98</v>
      </c>
      <c r="G33" s="12">
        <v>1</v>
      </c>
      <c r="H33" s="12">
        <v>2</v>
      </c>
      <c r="I33" s="12">
        <v>0</v>
      </c>
      <c r="J33" s="12">
        <v>1</v>
      </c>
      <c r="K33" s="12">
        <v>2</v>
      </c>
      <c r="L33" s="12">
        <v>2</v>
      </c>
      <c r="M33" s="12">
        <v>2</v>
      </c>
      <c r="N33" s="12">
        <v>4</v>
      </c>
      <c r="O33" s="21">
        <v>0</v>
      </c>
      <c r="Q33" s="714"/>
      <c r="R33" s="10" t="s">
        <v>16</v>
      </c>
      <c r="S33" s="108">
        <v>108</v>
      </c>
      <c r="T33" s="108">
        <v>115</v>
      </c>
      <c r="U33" s="108">
        <v>108</v>
      </c>
      <c r="V33" s="12">
        <v>0</v>
      </c>
      <c r="W33" s="12">
        <v>3</v>
      </c>
      <c r="X33" s="12">
        <v>3</v>
      </c>
      <c r="Y33" s="12">
        <v>3</v>
      </c>
      <c r="Z33" s="12">
        <v>3</v>
      </c>
      <c r="AA33" s="12">
        <v>2</v>
      </c>
      <c r="AB33" s="12">
        <v>0</v>
      </c>
      <c r="AC33" s="12">
        <v>3</v>
      </c>
      <c r="AD33" s="21">
        <v>0</v>
      </c>
    </row>
    <row r="34" spans="2:30" x14ac:dyDescent="0.25">
      <c r="B34" s="714"/>
      <c r="C34" s="10" t="s">
        <v>17</v>
      </c>
      <c r="D34" s="16">
        <v>83</v>
      </c>
      <c r="E34" s="16">
        <v>83</v>
      </c>
      <c r="F34" s="16">
        <v>85</v>
      </c>
      <c r="G34" s="12">
        <v>1</v>
      </c>
      <c r="H34" s="12">
        <v>1</v>
      </c>
      <c r="I34" s="12">
        <v>2</v>
      </c>
      <c r="J34" s="12">
        <v>0</v>
      </c>
      <c r="K34" s="12">
        <v>2</v>
      </c>
      <c r="L34" s="12">
        <v>2</v>
      </c>
      <c r="M34" s="12">
        <v>0</v>
      </c>
      <c r="N34" s="12">
        <v>0</v>
      </c>
      <c r="O34" s="21">
        <v>0</v>
      </c>
      <c r="Q34" s="714"/>
      <c r="R34" s="10" t="s">
        <v>17</v>
      </c>
      <c r="S34" s="29">
        <v>144</v>
      </c>
      <c r="T34" s="29">
        <v>147</v>
      </c>
      <c r="U34" s="29">
        <v>146</v>
      </c>
      <c r="V34" s="12">
        <v>0</v>
      </c>
      <c r="W34" s="12">
        <v>0</v>
      </c>
      <c r="X34" s="12">
        <v>3</v>
      </c>
      <c r="Y34" s="12">
        <v>0</v>
      </c>
      <c r="Z34" s="12">
        <v>5</v>
      </c>
      <c r="AA34" s="12">
        <v>1</v>
      </c>
      <c r="AB34" s="12">
        <v>7</v>
      </c>
      <c r="AC34" s="12">
        <v>1</v>
      </c>
      <c r="AD34" s="21">
        <v>0</v>
      </c>
    </row>
    <row r="35" spans="2:30" x14ac:dyDescent="0.25">
      <c r="B35" s="714"/>
      <c r="C35" s="10" t="s">
        <v>18</v>
      </c>
      <c r="D35" s="11">
        <v>89</v>
      </c>
      <c r="E35" s="16">
        <v>87</v>
      </c>
      <c r="F35" s="11">
        <v>92</v>
      </c>
      <c r="G35" s="12">
        <v>3</v>
      </c>
      <c r="H35" s="12">
        <v>1</v>
      </c>
      <c r="I35" s="12">
        <v>0</v>
      </c>
      <c r="J35" s="12">
        <v>5</v>
      </c>
      <c r="K35" s="12">
        <v>3</v>
      </c>
      <c r="L35" s="12">
        <v>2</v>
      </c>
      <c r="M35" s="12">
        <v>1</v>
      </c>
      <c r="N35" s="12">
        <v>4</v>
      </c>
      <c r="O35" s="21">
        <v>1</v>
      </c>
      <c r="Q35" s="714"/>
      <c r="R35" s="10" t="s">
        <v>18</v>
      </c>
      <c r="S35" s="12">
        <v>2</v>
      </c>
      <c r="T35" s="12">
        <v>0</v>
      </c>
      <c r="U35" s="12">
        <v>0</v>
      </c>
      <c r="V35" s="12">
        <v>0</v>
      </c>
      <c r="W35" s="12">
        <v>1</v>
      </c>
      <c r="X35" s="12">
        <v>0</v>
      </c>
      <c r="Y35" s="12">
        <v>1</v>
      </c>
      <c r="Z35" s="12">
        <v>0</v>
      </c>
      <c r="AA35" s="12">
        <v>0</v>
      </c>
      <c r="AB35" s="12">
        <v>2</v>
      </c>
      <c r="AC35" s="12">
        <v>0</v>
      </c>
      <c r="AD35" s="21">
        <v>2</v>
      </c>
    </row>
    <row r="36" spans="2:30" x14ac:dyDescent="0.25">
      <c r="B36" s="714"/>
      <c r="C36" s="10" t="s">
        <v>19</v>
      </c>
      <c r="D36" s="17">
        <v>116</v>
      </c>
      <c r="E36" s="27">
        <v>113</v>
      </c>
      <c r="F36" s="27">
        <v>113</v>
      </c>
      <c r="G36" s="12">
        <v>0</v>
      </c>
      <c r="H36" s="12">
        <v>0</v>
      </c>
      <c r="I36" s="12">
        <v>3</v>
      </c>
      <c r="J36" s="12">
        <v>0</v>
      </c>
      <c r="K36" s="12">
        <v>2</v>
      </c>
      <c r="L36" s="12">
        <v>0</v>
      </c>
      <c r="M36" s="12">
        <v>1</v>
      </c>
      <c r="N36" s="12">
        <v>2</v>
      </c>
      <c r="O36" s="21">
        <v>0</v>
      </c>
      <c r="Q36" s="714"/>
      <c r="R36" s="10" t="s">
        <v>19</v>
      </c>
      <c r="S36" s="12">
        <v>1</v>
      </c>
      <c r="T36" s="12">
        <v>4</v>
      </c>
      <c r="U36" s="12">
        <v>0</v>
      </c>
      <c r="V36" s="12">
        <v>2</v>
      </c>
      <c r="W36" s="12">
        <v>0</v>
      </c>
      <c r="X36" s="12">
        <v>7</v>
      </c>
      <c r="Y36" s="12">
        <v>1</v>
      </c>
      <c r="Z36" s="12">
        <v>0</v>
      </c>
      <c r="AA36" s="12">
        <v>1</v>
      </c>
      <c r="AB36" s="12">
        <v>0</v>
      </c>
      <c r="AC36" s="12">
        <v>5</v>
      </c>
      <c r="AD36" s="21">
        <v>0</v>
      </c>
    </row>
    <row r="37" spans="2:30" ht="15.75" thickBot="1" x14ac:dyDescent="0.3">
      <c r="B37" s="715"/>
      <c r="C37" s="22" t="s">
        <v>20</v>
      </c>
      <c r="D37" s="24">
        <v>2</v>
      </c>
      <c r="E37" s="24">
        <v>0</v>
      </c>
      <c r="F37" s="24">
        <v>0</v>
      </c>
      <c r="G37" s="24">
        <v>2</v>
      </c>
      <c r="H37" s="24">
        <v>2</v>
      </c>
      <c r="I37" s="24">
        <v>4</v>
      </c>
      <c r="J37" s="24">
        <v>3</v>
      </c>
      <c r="K37" s="24">
        <v>3</v>
      </c>
      <c r="L37" s="24">
        <v>0</v>
      </c>
      <c r="M37" s="24">
        <v>1</v>
      </c>
      <c r="N37" s="24">
        <v>1</v>
      </c>
      <c r="O37" s="25">
        <v>0</v>
      </c>
      <c r="Q37" s="715"/>
      <c r="R37" s="22" t="s">
        <v>20</v>
      </c>
      <c r="S37" s="24">
        <v>0</v>
      </c>
      <c r="T37" s="24">
        <v>0</v>
      </c>
      <c r="U37" s="24">
        <v>0</v>
      </c>
      <c r="V37" s="24">
        <v>1</v>
      </c>
      <c r="W37" s="24">
        <v>3</v>
      </c>
      <c r="X37" s="24">
        <v>0</v>
      </c>
      <c r="Y37" s="24">
        <v>1</v>
      </c>
      <c r="Z37" s="24">
        <v>3</v>
      </c>
      <c r="AA37" s="24">
        <v>3</v>
      </c>
      <c r="AB37" s="24">
        <v>0</v>
      </c>
      <c r="AC37" s="24">
        <v>3</v>
      </c>
      <c r="AD37" s="25">
        <v>3</v>
      </c>
    </row>
    <row r="38" spans="2:30" x14ac:dyDescent="0.25">
      <c r="B38" s="707" t="s">
        <v>62</v>
      </c>
      <c r="C38" s="18"/>
      <c r="D38" s="19">
        <v>1</v>
      </c>
      <c r="E38" s="19">
        <v>2</v>
      </c>
      <c r="F38" s="19">
        <v>3</v>
      </c>
      <c r="G38" s="19">
        <v>4</v>
      </c>
      <c r="H38" s="19">
        <v>5</v>
      </c>
      <c r="I38" s="19">
        <v>6</v>
      </c>
      <c r="J38" s="19">
        <v>7</v>
      </c>
      <c r="K38" s="19">
        <v>8</v>
      </c>
      <c r="L38" s="19">
        <v>9</v>
      </c>
      <c r="M38" s="19">
        <v>10</v>
      </c>
      <c r="N38" s="19">
        <v>11</v>
      </c>
      <c r="O38" s="20">
        <v>12</v>
      </c>
      <c r="Q38" s="713" t="s">
        <v>187</v>
      </c>
      <c r="R38" s="18"/>
      <c r="S38" s="19">
        <v>1</v>
      </c>
      <c r="T38" s="19">
        <v>2</v>
      </c>
      <c r="U38" s="19">
        <v>3</v>
      </c>
      <c r="V38" s="19">
        <v>4</v>
      </c>
      <c r="W38" s="19">
        <v>5</v>
      </c>
      <c r="X38" s="19">
        <v>6</v>
      </c>
      <c r="Y38" s="19">
        <v>7</v>
      </c>
      <c r="Z38" s="19">
        <v>8</v>
      </c>
      <c r="AA38" s="19">
        <v>9</v>
      </c>
      <c r="AB38" s="19">
        <v>10</v>
      </c>
      <c r="AC38" s="19">
        <v>11</v>
      </c>
      <c r="AD38" s="20">
        <v>12</v>
      </c>
    </row>
    <row r="39" spans="2:30" x14ac:dyDescent="0.25">
      <c r="B39" s="708"/>
      <c r="C39" s="10" t="s">
        <v>13</v>
      </c>
      <c r="D39" s="28">
        <v>43</v>
      </c>
      <c r="E39" s="28">
        <v>44</v>
      </c>
      <c r="F39" s="26">
        <v>48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2</v>
      </c>
      <c r="M39" s="12">
        <v>0</v>
      </c>
      <c r="N39" s="12">
        <v>3</v>
      </c>
      <c r="O39" s="21">
        <v>0</v>
      </c>
      <c r="Q39" s="714"/>
      <c r="R39" s="10" t="s">
        <v>13</v>
      </c>
      <c r="S39" s="107">
        <v>62</v>
      </c>
      <c r="T39" s="107">
        <v>63</v>
      </c>
      <c r="U39" s="107">
        <v>62</v>
      </c>
      <c r="V39" s="12">
        <v>2</v>
      </c>
      <c r="W39" s="12">
        <v>4</v>
      </c>
      <c r="X39" s="12">
        <v>1</v>
      </c>
      <c r="Y39" s="12">
        <v>3</v>
      </c>
      <c r="Z39" s="12">
        <v>3</v>
      </c>
      <c r="AA39" s="12">
        <v>4</v>
      </c>
      <c r="AB39" s="12">
        <v>1</v>
      </c>
      <c r="AC39" s="12">
        <v>1</v>
      </c>
      <c r="AD39" s="21">
        <v>3</v>
      </c>
    </row>
    <row r="40" spans="2:30" x14ac:dyDescent="0.25">
      <c r="B40" s="708"/>
      <c r="C40" s="10" t="s">
        <v>14</v>
      </c>
      <c r="D40" s="31">
        <v>87</v>
      </c>
      <c r="E40" s="11">
        <v>84</v>
      </c>
      <c r="F40" s="31">
        <v>91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21">
        <v>2</v>
      </c>
      <c r="Q40" s="714"/>
      <c r="R40" s="10" t="s">
        <v>14</v>
      </c>
      <c r="S40" s="108">
        <v>115</v>
      </c>
      <c r="T40" s="108">
        <v>110</v>
      </c>
      <c r="U40" s="108">
        <v>112</v>
      </c>
      <c r="V40" s="12">
        <v>4</v>
      </c>
      <c r="W40" s="12">
        <v>6</v>
      </c>
      <c r="X40" s="12">
        <v>3</v>
      </c>
      <c r="Y40" s="12">
        <v>1</v>
      </c>
      <c r="Z40" s="12">
        <v>3</v>
      </c>
      <c r="AA40" s="12">
        <v>4</v>
      </c>
      <c r="AB40" s="12">
        <v>6</v>
      </c>
      <c r="AC40" s="12">
        <v>2</v>
      </c>
      <c r="AD40" s="21">
        <v>3</v>
      </c>
    </row>
    <row r="41" spans="2:30" x14ac:dyDescent="0.25">
      <c r="B41" s="708"/>
      <c r="C41" s="10" t="s">
        <v>15</v>
      </c>
      <c r="D41" s="16">
        <v>76</v>
      </c>
      <c r="E41" s="16">
        <v>77</v>
      </c>
      <c r="F41" s="16">
        <v>71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21">
        <v>0</v>
      </c>
      <c r="Q41" s="714"/>
      <c r="R41" s="10" t="s">
        <v>15</v>
      </c>
      <c r="S41" s="28">
        <v>162</v>
      </c>
      <c r="T41" s="28">
        <v>162</v>
      </c>
      <c r="U41" s="28">
        <v>165</v>
      </c>
      <c r="V41" s="12">
        <v>0</v>
      </c>
      <c r="W41" s="12">
        <v>3</v>
      </c>
      <c r="X41" s="12">
        <v>5</v>
      </c>
      <c r="Y41" s="12">
        <v>3</v>
      </c>
      <c r="Z41" s="12">
        <v>3</v>
      </c>
      <c r="AA41" s="12">
        <v>5</v>
      </c>
      <c r="AB41" s="12">
        <v>2</v>
      </c>
      <c r="AC41" s="12">
        <v>3</v>
      </c>
      <c r="AD41" s="21">
        <v>3</v>
      </c>
    </row>
    <row r="42" spans="2:30" x14ac:dyDescent="0.25">
      <c r="B42" s="708"/>
      <c r="C42" s="10" t="s">
        <v>16</v>
      </c>
      <c r="D42" s="11">
        <v>80</v>
      </c>
      <c r="E42" s="11">
        <v>79</v>
      </c>
      <c r="F42" s="16">
        <v>78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1</v>
      </c>
      <c r="O42" s="21">
        <v>0</v>
      </c>
      <c r="Q42" s="714"/>
      <c r="R42" s="10" t="s">
        <v>16</v>
      </c>
      <c r="S42" s="17">
        <v>418</v>
      </c>
      <c r="T42" s="17">
        <v>407</v>
      </c>
      <c r="U42" s="27">
        <v>374</v>
      </c>
      <c r="V42" s="12">
        <v>4</v>
      </c>
      <c r="W42" s="12">
        <v>4</v>
      </c>
      <c r="X42" s="12">
        <v>3</v>
      </c>
      <c r="Y42" s="12">
        <v>1</v>
      </c>
      <c r="Z42" s="12">
        <v>0</v>
      </c>
      <c r="AA42" s="12">
        <v>6</v>
      </c>
      <c r="AB42" s="12">
        <v>1</v>
      </c>
      <c r="AC42" s="12">
        <v>5</v>
      </c>
      <c r="AD42" s="21">
        <v>2</v>
      </c>
    </row>
    <row r="43" spans="2:30" x14ac:dyDescent="0.25">
      <c r="B43" s="708"/>
      <c r="C43" s="10" t="s">
        <v>17</v>
      </c>
      <c r="D43" s="11">
        <v>84</v>
      </c>
      <c r="E43" s="31">
        <v>88</v>
      </c>
      <c r="F43" s="11">
        <v>83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21">
        <v>0</v>
      </c>
      <c r="Q43" s="714"/>
      <c r="R43" s="10" t="s">
        <v>17</v>
      </c>
      <c r="S43" s="12">
        <v>4</v>
      </c>
      <c r="T43" s="12">
        <v>4</v>
      </c>
      <c r="U43" s="12">
        <v>1</v>
      </c>
      <c r="V43" s="12">
        <v>3</v>
      </c>
      <c r="W43" s="12">
        <v>1</v>
      </c>
      <c r="X43" s="12">
        <v>5</v>
      </c>
      <c r="Y43" s="12">
        <v>3</v>
      </c>
      <c r="Z43" s="12">
        <v>4</v>
      </c>
      <c r="AA43" s="12">
        <v>3</v>
      </c>
      <c r="AB43" s="12">
        <v>5</v>
      </c>
      <c r="AC43" s="12">
        <v>1</v>
      </c>
      <c r="AD43" s="21">
        <v>3</v>
      </c>
    </row>
    <row r="44" spans="2:30" x14ac:dyDescent="0.25">
      <c r="B44" s="708"/>
      <c r="C44" s="10" t="s">
        <v>18</v>
      </c>
      <c r="D44" s="17">
        <v>103</v>
      </c>
      <c r="E44" s="17">
        <v>110</v>
      </c>
      <c r="F44" s="17">
        <v>109</v>
      </c>
      <c r="G44" s="12">
        <v>0</v>
      </c>
      <c r="H44" s="12">
        <v>0</v>
      </c>
      <c r="I44" s="12">
        <v>0</v>
      </c>
      <c r="J44" s="12">
        <v>4</v>
      </c>
      <c r="K44" s="12">
        <v>0</v>
      </c>
      <c r="L44" s="12">
        <v>2</v>
      </c>
      <c r="M44" s="12">
        <v>4</v>
      </c>
      <c r="N44" s="12">
        <v>3</v>
      </c>
      <c r="O44" s="21">
        <v>0</v>
      </c>
      <c r="Q44" s="714"/>
      <c r="R44" s="10" t="s">
        <v>18</v>
      </c>
      <c r="S44" s="12">
        <v>3</v>
      </c>
      <c r="T44" s="12">
        <v>4</v>
      </c>
      <c r="U44" s="12">
        <v>2</v>
      </c>
      <c r="V44" s="12">
        <v>3</v>
      </c>
      <c r="W44" s="12">
        <v>2</v>
      </c>
      <c r="X44" s="12">
        <v>3</v>
      </c>
      <c r="Y44" s="12">
        <v>3</v>
      </c>
      <c r="Z44" s="12">
        <v>2</v>
      </c>
      <c r="AA44" s="12">
        <v>3</v>
      </c>
      <c r="AB44" s="12">
        <v>4</v>
      </c>
      <c r="AC44" s="12">
        <v>4</v>
      </c>
      <c r="AD44" s="21">
        <v>4</v>
      </c>
    </row>
    <row r="45" spans="2:30" x14ac:dyDescent="0.25">
      <c r="B45" s="708"/>
      <c r="C45" s="10" t="s">
        <v>19</v>
      </c>
      <c r="D45" s="31">
        <v>88</v>
      </c>
      <c r="E45" s="11">
        <v>83</v>
      </c>
      <c r="F45" s="31">
        <v>89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21">
        <v>0</v>
      </c>
      <c r="Q45" s="714"/>
      <c r="R45" s="10" t="s">
        <v>19</v>
      </c>
      <c r="S45" s="12">
        <v>2</v>
      </c>
      <c r="T45" s="12">
        <v>2</v>
      </c>
      <c r="U45" s="12">
        <v>5</v>
      </c>
      <c r="V45" s="12">
        <v>1</v>
      </c>
      <c r="W45" s="12">
        <v>2</v>
      </c>
      <c r="X45" s="12">
        <v>2</v>
      </c>
      <c r="Y45" s="12">
        <v>0</v>
      </c>
      <c r="Z45" s="12">
        <v>6</v>
      </c>
      <c r="AA45" s="12">
        <v>5</v>
      </c>
      <c r="AB45" s="12">
        <v>4</v>
      </c>
      <c r="AC45" s="12">
        <v>3</v>
      </c>
      <c r="AD45" s="21">
        <v>3</v>
      </c>
    </row>
    <row r="46" spans="2:30" ht="15.75" thickBot="1" x14ac:dyDescent="0.3">
      <c r="B46" s="709"/>
      <c r="C46" s="22" t="s">
        <v>20</v>
      </c>
      <c r="D46" s="24">
        <v>0</v>
      </c>
      <c r="E46" s="24">
        <v>0</v>
      </c>
      <c r="F46" s="24">
        <v>0</v>
      </c>
      <c r="G46" s="24">
        <v>1</v>
      </c>
      <c r="H46" s="24">
        <v>0</v>
      </c>
      <c r="I46" s="24">
        <v>0</v>
      </c>
      <c r="J46" s="24">
        <v>1</v>
      </c>
      <c r="K46" s="24">
        <v>0</v>
      </c>
      <c r="L46" s="24">
        <v>0</v>
      </c>
      <c r="M46" s="24">
        <v>0</v>
      </c>
      <c r="N46" s="24">
        <v>0</v>
      </c>
      <c r="O46" s="25">
        <v>0</v>
      </c>
      <c r="Q46" s="715"/>
      <c r="R46" s="22" t="s">
        <v>20</v>
      </c>
      <c r="S46" s="24">
        <v>0</v>
      </c>
      <c r="T46" s="24">
        <v>4</v>
      </c>
      <c r="U46" s="24">
        <v>2</v>
      </c>
      <c r="V46" s="24">
        <v>3</v>
      </c>
      <c r="W46" s="24">
        <v>3</v>
      </c>
      <c r="X46" s="24">
        <v>2</v>
      </c>
      <c r="Y46" s="24">
        <v>3</v>
      </c>
      <c r="Z46" s="24">
        <v>2</v>
      </c>
      <c r="AA46" s="24">
        <v>1</v>
      </c>
      <c r="AB46" s="24">
        <v>5</v>
      </c>
      <c r="AC46" s="24">
        <v>3</v>
      </c>
      <c r="AD46" s="25">
        <v>5</v>
      </c>
    </row>
    <row r="47" spans="2:30" x14ac:dyDescent="0.25">
      <c r="B47" s="707" t="s">
        <v>209</v>
      </c>
      <c r="C47" s="18"/>
      <c r="D47" s="19">
        <v>1</v>
      </c>
      <c r="E47" s="19">
        <v>2</v>
      </c>
      <c r="F47" s="19">
        <v>3</v>
      </c>
      <c r="G47" s="19">
        <v>4</v>
      </c>
      <c r="H47" s="19">
        <v>5</v>
      </c>
      <c r="I47" s="19">
        <v>6</v>
      </c>
      <c r="J47" s="19">
        <v>7</v>
      </c>
      <c r="K47" s="19">
        <v>8</v>
      </c>
      <c r="L47" s="19">
        <v>9</v>
      </c>
      <c r="M47" s="19">
        <v>10</v>
      </c>
      <c r="N47" s="19">
        <v>11</v>
      </c>
      <c r="O47" s="20">
        <v>12</v>
      </c>
      <c r="Q47" s="647" t="s">
        <v>461</v>
      </c>
      <c r="R47" s="231"/>
      <c r="S47" s="10">
        <v>1</v>
      </c>
      <c r="T47" s="10">
        <v>2</v>
      </c>
      <c r="U47" s="10">
        <v>3</v>
      </c>
      <c r="V47" s="10">
        <v>4</v>
      </c>
      <c r="W47" s="10">
        <v>5</v>
      </c>
      <c r="X47" s="10">
        <v>6</v>
      </c>
      <c r="Y47" s="10">
        <v>7</v>
      </c>
      <c r="Z47" s="10">
        <v>8</v>
      </c>
      <c r="AA47" s="10">
        <v>9</v>
      </c>
      <c r="AB47" s="10">
        <v>10</v>
      </c>
      <c r="AC47" s="10">
        <v>11</v>
      </c>
      <c r="AD47" s="10">
        <v>12</v>
      </c>
    </row>
    <row r="48" spans="2:30" x14ac:dyDescent="0.25">
      <c r="B48" s="708"/>
      <c r="C48" s="10" t="s">
        <v>13</v>
      </c>
      <c r="D48" s="31">
        <v>77</v>
      </c>
      <c r="E48" s="31">
        <v>77</v>
      </c>
      <c r="F48" s="27">
        <v>80</v>
      </c>
      <c r="G48" s="12">
        <v>1</v>
      </c>
      <c r="H48" s="12">
        <v>0</v>
      </c>
      <c r="I48" s="12">
        <v>1</v>
      </c>
      <c r="J48" s="12">
        <v>2</v>
      </c>
      <c r="K48" s="12">
        <v>0</v>
      </c>
      <c r="L48" s="12">
        <v>2</v>
      </c>
      <c r="M48" s="12">
        <v>3</v>
      </c>
      <c r="N48" s="12">
        <v>4</v>
      </c>
      <c r="O48" s="21">
        <v>1</v>
      </c>
      <c r="Q48" s="648"/>
      <c r="R48" s="125" t="s">
        <v>13</v>
      </c>
      <c r="S48" s="14">
        <v>42</v>
      </c>
      <c r="T48" s="14">
        <v>44</v>
      </c>
      <c r="U48" s="14">
        <v>44</v>
      </c>
      <c r="V48" s="12">
        <v>4</v>
      </c>
      <c r="W48" s="12">
        <v>4</v>
      </c>
      <c r="X48" s="12">
        <v>2</v>
      </c>
      <c r="Y48" s="12">
        <v>2</v>
      </c>
      <c r="Z48" s="12">
        <v>1</v>
      </c>
      <c r="AA48" s="12">
        <v>1</v>
      </c>
      <c r="AB48" s="12">
        <v>1</v>
      </c>
      <c r="AC48" s="12">
        <v>0</v>
      </c>
      <c r="AD48" s="13">
        <v>7</v>
      </c>
    </row>
    <row r="49" spans="2:30" x14ac:dyDescent="0.25">
      <c r="B49" s="708"/>
      <c r="C49" s="10" t="s">
        <v>14</v>
      </c>
      <c r="D49" s="17">
        <v>90</v>
      </c>
      <c r="E49" s="27">
        <v>84</v>
      </c>
      <c r="F49" s="17">
        <v>87</v>
      </c>
      <c r="G49" s="12">
        <v>3</v>
      </c>
      <c r="H49" s="12">
        <v>0</v>
      </c>
      <c r="I49" s="12">
        <v>1</v>
      </c>
      <c r="J49" s="12">
        <v>2</v>
      </c>
      <c r="K49" s="12">
        <v>1</v>
      </c>
      <c r="L49" s="12">
        <v>2</v>
      </c>
      <c r="M49" s="12">
        <v>0</v>
      </c>
      <c r="N49" s="12">
        <v>4</v>
      </c>
      <c r="O49" s="21">
        <v>4</v>
      </c>
      <c r="Q49" s="648"/>
      <c r="R49" s="125" t="s">
        <v>14</v>
      </c>
      <c r="S49" s="598">
        <v>86.142857142857153</v>
      </c>
      <c r="T49" s="599">
        <v>79.714285714285722</v>
      </c>
      <c r="U49" s="598">
        <v>84.857142857142861</v>
      </c>
      <c r="V49" s="602">
        <v>101.57142857142858</v>
      </c>
      <c r="W49" s="602">
        <v>99.000000000000014</v>
      </c>
      <c r="X49" s="601">
        <v>90</v>
      </c>
      <c r="Y49" s="12">
        <v>0</v>
      </c>
      <c r="Z49" s="12">
        <v>2</v>
      </c>
      <c r="AA49" s="12">
        <v>0</v>
      </c>
      <c r="AB49" s="12">
        <v>2</v>
      </c>
      <c r="AC49" s="12">
        <v>3</v>
      </c>
      <c r="AD49" s="12">
        <v>3</v>
      </c>
    </row>
    <row r="50" spans="2:30" x14ac:dyDescent="0.25">
      <c r="B50" s="708"/>
      <c r="C50" s="10" t="s">
        <v>15</v>
      </c>
      <c r="D50" s="17">
        <v>90</v>
      </c>
      <c r="E50" s="17">
        <v>93</v>
      </c>
      <c r="F50" s="17">
        <v>91</v>
      </c>
      <c r="G50" s="12">
        <v>0</v>
      </c>
      <c r="H50" s="12">
        <v>0</v>
      </c>
      <c r="I50" s="12">
        <v>0</v>
      </c>
      <c r="J50" s="12">
        <v>1</v>
      </c>
      <c r="K50" s="12">
        <v>1</v>
      </c>
      <c r="L50" s="12">
        <v>1</v>
      </c>
      <c r="M50" s="12">
        <v>4</v>
      </c>
      <c r="N50" s="12">
        <v>2</v>
      </c>
      <c r="O50" s="21">
        <v>1</v>
      </c>
      <c r="Q50" s="648"/>
      <c r="R50" s="125" t="s">
        <v>15</v>
      </c>
      <c r="S50" s="598">
        <v>86.142857142857153</v>
      </c>
      <c r="T50" s="598">
        <v>82.285714285714292</v>
      </c>
      <c r="U50" s="598">
        <v>82.285714285714292</v>
      </c>
      <c r="V50" s="598">
        <v>84.857142857142861</v>
      </c>
      <c r="W50" s="598">
        <v>86.142857142857153</v>
      </c>
      <c r="X50" s="598">
        <v>83.571428571428584</v>
      </c>
      <c r="Y50" s="12">
        <v>0</v>
      </c>
      <c r="Z50" s="12">
        <v>3</v>
      </c>
      <c r="AA50" s="12">
        <v>4</v>
      </c>
      <c r="AB50" s="12">
        <v>1</v>
      </c>
      <c r="AC50" s="12">
        <v>2</v>
      </c>
      <c r="AD50" s="12">
        <v>4</v>
      </c>
    </row>
    <row r="51" spans="2:30" x14ac:dyDescent="0.25">
      <c r="B51" s="708"/>
      <c r="C51" s="10" t="s">
        <v>16</v>
      </c>
      <c r="D51" s="12">
        <v>3</v>
      </c>
      <c r="E51" s="12">
        <v>0</v>
      </c>
      <c r="F51" s="12">
        <v>0</v>
      </c>
      <c r="G51" s="12">
        <v>2</v>
      </c>
      <c r="H51" s="12">
        <v>1</v>
      </c>
      <c r="I51" s="12">
        <v>0</v>
      </c>
      <c r="J51" s="12">
        <v>0</v>
      </c>
      <c r="K51" s="12">
        <v>4</v>
      </c>
      <c r="L51" s="12">
        <v>1</v>
      </c>
      <c r="M51" s="12">
        <v>1</v>
      </c>
      <c r="N51" s="12">
        <v>4</v>
      </c>
      <c r="O51" s="21">
        <v>0</v>
      </c>
      <c r="Q51" s="648"/>
      <c r="R51" s="125" t="s">
        <v>16</v>
      </c>
      <c r="S51" s="600">
        <v>72</v>
      </c>
      <c r="T51" s="600">
        <v>70.714285714285722</v>
      </c>
      <c r="U51" s="600">
        <v>72</v>
      </c>
      <c r="V51" s="599">
        <v>75.857142857142861</v>
      </c>
      <c r="W51" s="599">
        <v>75.857142857142861</v>
      </c>
      <c r="X51" s="600">
        <v>68.142857142857153</v>
      </c>
      <c r="Y51" s="12">
        <v>0</v>
      </c>
      <c r="Z51" s="12">
        <v>1</v>
      </c>
      <c r="AA51" s="12">
        <v>3</v>
      </c>
      <c r="AB51" s="12">
        <v>2</v>
      </c>
      <c r="AC51" s="12">
        <v>1</v>
      </c>
      <c r="AD51" s="12">
        <v>2</v>
      </c>
    </row>
    <row r="52" spans="2:30" x14ac:dyDescent="0.25">
      <c r="B52" s="708"/>
      <c r="C52" s="10" t="s">
        <v>17</v>
      </c>
      <c r="D52" s="12">
        <v>3</v>
      </c>
      <c r="E52" s="12">
        <v>2</v>
      </c>
      <c r="F52" s="12">
        <v>3</v>
      </c>
      <c r="G52" s="12">
        <v>2</v>
      </c>
      <c r="H52" s="12">
        <v>2</v>
      </c>
      <c r="I52" s="12">
        <v>3</v>
      </c>
      <c r="J52" s="12">
        <v>3</v>
      </c>
      <c r="K52" s="12">
        <v>4</v>
      </c>
      <c r="L52" s="12">
        <v>0</v>
      </c>
      <c r="M52" s="12">
        <v>2</v>
      </c>
      <c r="N52" s="12">
        <v>2</v>
      </c>
      <c r="O52" s="21">
        <v>1</v>
      </c>
      <c r="Q52" s="648"/>
      <c r="R52" s="125" t="s">
        <v>17</v>
      </c>
      <c r="S52" s="598">
        <v>84.857142857142861</v>
      </c>
      <c r="T52" s="598">
        <v>84.857142857142861</v>
      </c>
      <c r="U52" s="599">
        <v>77.142857142857153</v>
      </c>
      <c r="V52" s="12">
        <v>0</v>
      </c>
      <c r="W52" s="12">
        <v>1</v>
      </c>
      <c r="X52" s="12">
        <v>0</v>
      </c>
      <c r="Y52" s="12">
        <v>2</v>
      </c>
      <c r="Z52" s="12">
        <v>0</v>
      </c>
      <c r="AA52" s="12">
        <v>3</v>
      </c>
      <c r="AB52" s="12">
        <v>3</v>
      </c>
      <c r="AC52" s="12">
        <v>2</v>
      </c>
      <c r="AD52" s="13">
        <v>6</v>
      </c>
    </row>
    <row r="53" spans="2:30" x14ac:dyDescent="0.25">
      <c r="B53" s="708"/>
      <c r="C53" s="10" t="s">
        <v>18</v>
      </c>
      <c r="D53" s="12">
        <v>1</v>
      </c>
      <c r="E53" s="12">
        <v>3</v>
      </c>
      <c r="F53" s="12">
        <v>2</v>
      </c>
      <c r="G53" s="12">
        <v>0</v>
      </c>
      <c r="H53" s="12">
        <v>2</v>
      </c>
      <c r="I53" s="12">
        <v>3</v>
      </c>
      <c r="J53" s="12">
        <v>2</v>
      </c>
      <c r="K53" s="12">
        <v>1</v>
      </c>
      <c r="L53" s="12">
        <v>0</v>
      </c>
      <c r="M53" s="12">
        <v>0</v>
      </c>
      <c r="N53" s="12">
        <v>0</v>
      </c>
      <c r="O53" s="21">
        <v>0</v>
      </c>
      <c r="Q53" s="648"/>
      <c r="R53" s="125" t="s">
        <v>18</v>
      </c>
      <c r="S53" s="601">
        <v>87.428571428571431</v>
      </c>
      <c r="T53" s="598">
        <v>86.142857142857153</v>
      </c>
      <c r="U53" s="598">
        <v>81</v>
      </c>
      <c r="V53" s="12">
        <v>0</v>
      </c>
      <c r="W53" s="12">
        <v>0</v>
      </c>
      <c r="X53" s="12">
        <v>0</v>
      </c>
      <c r="Y53" s="12">
        <v>3</v>
      </c>
      <c r="Z53" s="12">
        <v>2</v>
      </c>
      <c r="AA53" s="12">
        <v>4</v>
      </c>
      <c r="AB53" s="12">
        <v>2</v>
      </c>
      <c r="AC53" s="12">
        <v>3</v>
      </c>
      <c r="AD53" s="12">
        <v>3</v>
      </c>
    </row>
    <row r="54" spans="2:30" x14ac:dyDescent="0.25">
      <c r="B54" s="708"/>
      <c r="C54" s="10" t="s">
        <v>19</v>
      </c>
      <c r="D54" s="12">
        <v>2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1</v>
      </c>
      <c r="K54" s="12">
        <v>0</v>
      </c>
      <c r="L54" s="12">
        <v>0</v>
      </c>
      <c r="M54" s="12">
        <v>1</v>
      </c>
      <c r="N54" s="12">
        <v>1</v>
      </c>
      <c r="O54" s="21">
        <v>0</v>
      </c>
      <c r="Q54" s="648"/>
      <c r="R54" s="125" t="s">
        <v>19</v>
      </c>
      <c r="S54" s="599">
        <v>74.571428571428584</v>
      </c>
      <c r="T54" s="599">
        <v>78.428571428571431</v>
      </c>
      <c r="U54" s="599">
        <v>78.428571428571431</v>
      </c>
      <c r="V54" s="12">
        <v>2</v>
      </c>
      <c r="W54" s="13">
        <v>6</v>
      </c>
      <c r="X54" s="12">
        <v>4</v>
      </c>
      <c r="Y54" s="12">
        <v>0</v>
      </c>
      <c r="Z54" s="12">
        <v>4</v>
      </c>
      <c r="AA54" s="12">
        <v>0</v>
      </c>
      <c r="AB54" s="12">
        <v>2</v>
      </c>
      <c r="AC54" s="12">
        <v>1</v>
      </c>
      <c r="AD54" s="12">
        <v>3</v>
      </c>
    </row>
    <row r="55" spans="2:30" ht="15.75" thickBot="1" x14ac:dyDescent="0.3">
      <c r="B55" s="709"/>
      <c r="C55" s="22" t="s">
        <v>20</v>
      </c>
      <c r="D55" s="24">
        <v>3</v>
      </c>
      <c r="E55" s="24">
        <v>0</v>
      </c>
      <c r="F55" s="24">
        <v>3</v>
      </c>
      <c r="G55" s="24">
        <v>3</v>
      </c>
      <c r="H55" s="24">
        <v>3</v>
      </c>
      <c r="I55" s="24">
        <v>1</v>
      </c>
      <c r="J55" s="24">
        <v>2</v>
      </c>
      <c r="K55" s="24">
        <v>2</v>
      </c>
      <c r="L55" s="24">
        <v>1</v>
      </c>
      <c r="M55" s="24">
        <v>3</v>
      </c>
      <c r="N55" s="24">
        <v>3</v>
      </c>
      <c r="O55" s="25">
        <v>5</v>
      </c>
      <c r="Q55" s="656"/>
      <c r="R55" s="125" t="s">
        <v>20</v>
      </c>
      <c r="S55" s="602">
        <v>100.28571428571429</v>
      </c>
      <c r="T55" s="601">
        <v>93.857142857142861</v>
      </c>
      <c r="U55" s="601">
        <v>93.857142857142861</v>
      </c>
      <c r="V55" s="12">
        <v>1</v>
      </c>
      <c r="W55" s="12">
        <v>0</v>
      </c>
      <c r="X55" s="12">
        <v>2</v>
      </c>
      <c r="Y55" s="12">
        <v>0</v>
      </c>
      <c r="Z55" s="12">
        <v>0</v>
      </c>
      <c r="AA55" s="13">
        <v>7</v>
      </c>
      <c r="AB55" s="12">
        <v>3</v>
      </c>
      <c r="AC55" s="12">
        <v>3</v>
      </c>
      <c r="AD55" s="12">
        <v>2</v>
      </c>
    </row>
    <row r="56" spans="2:30" x14ac:dyDescent="0.25">
      <c r="B56" s="707" t="s">
        <v>715</v>
      </c>
      <c r="C56" s="18"/>
      <c r="D56" s="19">
        <v>1</v>
      </c>
      <c r="E56" s="19">
        <v>2</v>
      </c>
      <c r="F56" s="19">
        <v>3</v>
      </c>
      <c r="G56" s="19">
        <v>4</v>
      </c>
      <c r="H56" s="19">
        <v>5</v>
      </c>
      <c r="I56" s="19">
        <v>6</v>
      </c>
      <c r="J56" s="19">
        <v>7</v>
      </c>
      <c r="K56" s="19">
        <v>8</v>
      </c>
      <c r="L56" s="19">
        <v>9</v>
      </c>
      <c r="M56" s="19">
        <v>10</v>
      </c>
      <c r="N56" s="19">
        <v>11</v>
      </c>
      <c r="O56" s="20">
        <v>12</v>
      </c>
      <c r="Q56" s="647" t="s">
        <v>710</v>
      </c>
      <c r="R56" s="231"/>
      <c r="S56" s="10">
        <v>1</v>
      </c>
      <c r="T56" s="10">
        <v>2</v>
      </c>
      <c r="U56" s="10">
        <v>3</v>
      </c>
      <c r="V56" s="10">
        <v>4</v>
      </c>
      <c r="W56" s="10">
        <v>5</v>
      </c>
      <c r="X56" s="10">
        <v>6</v>
      </c>
      <c r="Y56" s="10">
        <v>7</v>
      </c>
      <c r="Z56" s="10">
        <v>8</v>
      </c>
      <c r="AA56" s="10">
        <v>9</v>
      </c>
      <c r="AB56" s="10">
        <v>10</v>
      </c>
      <c r="AC56" s="10">
        <v>11</v>
      </c>
      <c r="AD56" s="10">
        <v>12</v>
      </c>
    </row>
    <row r="57" spans="2:30" x14ac:dyDescent="0.25">
      <c r="B57" s="708"/>
      <c r="C57" s="10" t="s">
        <v>13</v>
      </c>
      <c r="D57" s="107">
        <v>41</v>
      </c>
      <c r="E57" s="107">
        <v>41</v>
      </c>
      <c r="F57" s="107">
        <v>38</v>
      </c>
      <c r="G57" s="12">
        <v>4</v>
      </c>
      <c r="H57" s="12">
        <v>0</v>
      </c>
      <c r="I57" s="12">
        <v>2</v>
      </c>
      <c r="J57" s="12">
        <v>2</v>
      </c>
      <c r="K57" s="12">
        <v>2</v>
      </c>
      <c r="L57" s="12">
        <v>1</v>
      </c>
      <c r="M57" s="12">
        <v>1</v>
      </c>
      <c r="N57" s="12">
        <v>1</v>
      </c>
      <c r="O57" s="21">
        <v>1</v>
      </c>
      <c r="Q57" s="648"/>
      <c r="R57" s="125" t="s">
        <v>13</v>
      </c>
      <c r="S57" s="14">
        <v>42</v>
      </c>
      <c r="T57" s="14">
        <v>44</v>
      </c>
      <c r="U57" s="14">
        <v>44</v>
      </c>
      <c r="V57" s="12">
        <v>4</v>
      </c>
      <c r="W57" s="12">
        <v>4</v>
      </c>
      <c r="X57" s="12">
        <v>2</v>
      </c>
      <c r="Y57" s="12">
        <v>2</v>
      </c>
      <c r="Z57" s="12">
        <v>1</v>
      </c>
      <c r="AA57" s="12">
        <v>1</v>
      </c>
      <c r="AB57" s="12">
        <v>1</v>
      </c>
      <c r="AC57" s="12">
        <v>0</v>
      </c>
      <c r="AD57" s="13">
        <v>7</v>
      </c>
    </row>
    <row r="58" spans="2:30" x14ac:dyDescent="0.25">
      <c r="B58" s="708"/>
      <c r="C58" s="10" t="s">
        <v>14</v>
      </c>
      <c r="D58" s="29">
        <v>88</v>
      </c>
      <c r="E58" s="29">
        <v>84</v>
      </c>
      <c r="F58" s="29">
        <v>82</v>
      </c>
      <c r="G58" s="17">
        <v>235</v>
      </c>
      <c r="H58" s="17">
        <v>235</v>
      </c>
      <c r="I58" s="17">
        <v>252</v>
      </c>
      <c r="J58" s="12">
        <v>1</v>
      </c>
      <c r="K58" s="12">
        <v>0</v>
      </c>
      <c r="L58" s="12">
        <v>1</v>
      </c>
      <c r="M58" s="12">
        <v>0</v>
      </c>
      <c r="N58" s="12">
        <v>0</v>
      </c>
      <c r="O58" s="21">
        <v>3</v>
      </c>
      <c r="Q58" s="648"/>
      <c r="R58" s="125" t="s">
        <v>14</v>
      </c>
      <c r="S58" s="31">
        <v>67</v>
      </c>
      <c r="T58" s="11">
        <v>62</v>
      </c>
      <c r="U58" s="31">
        <v>66</v>
      </c>
      <c r="V58" s="17">
        <v>79</v>
      </c>
      <c r="W58" s="17">
        <v>77</v>
      </c>
      <c r="X58" s="27">
        <v>70</v>
      </c>
      <c r="Y58" s="12">
        <v>0</v>
      </c>
      <c r="Z58" s="12">
        <v>2</v>
      </c>
      <c r="AA58" s="12">
        <v>0</v>
      </c>
      <c r="AB58" s="12">
        <v>2</v>
      </c>
      <c r="AC58" s="12">
        <v>3</v>
      </c>
      <c r="AD58" s="12">
        <v>3</v>
      </c>
    </row>
    <row r="59" spans="2:30" x14ac:dyDescent="0.25">
      <c r="B59" s="708"/>
      <c r="C59" s="10" t="s">
        <v>15</v>
      </c>
      <c r="D59" s="28">
        <v>91</v>
      </c>
      <c r="E59" s="29">
        <v>88</v>
      </c>
      <c r="F59" s="29">
        <v>89</v>
      </c>
      <c r="G59" s="12">
        <v>1</v>
      </c>
      <c r="H59" s="12">
        <v>3</v>
      </c>
      <c r="I59" s="12">
        <v>0</v>
      </c>
      <c r="J59" s="12">
        <v>1</v>
      </c>
      <c r="K59" s="12">
        <v>2</v>
      </c>
      <c r="L59" s="12">
        <v>3</v>
      </c>
      <c r="M59" s="12">
        <v>3</v>
      </c>
      <c r="N59" s="12">
        <v>1</v>
      </c>
      <c r="O59" s="21">
        <v>0</v>
      </c>
      <c r="Q59" s="648"/>
      <c r="R59" s="125" t="s">
        <v>15</v>
      </c>
      <c r="S59" s="31">
        <v>67</v>
      </c>
      <c r="T59" s="31">
        <v>64</v>
      </c>
      <c r="U59" s="31">
        <v>64</v>
      </c>
      <c r="V59" s="31">
        <v>66</v>
      </c>
      <c r="W59" s="31">
        <v>67</v>
      </c>
      <c r="X59" s="31">
        <v>65</v>
      </c>
      <c r="Y59" s="12">
        <v>0</v>
      </c>
      <c r="Z59" s="12">
        <v>3</v>
      </c>
      <c r="AA59" s="12">
        <v>4</v>
      </c>
      <c r="AB59" s="12">
        <v>1</v>
      </c>
      <c r="AC59" s="12">
        <v>2</v>
      </c>
      <c r="AD59" s="12">
        <v>4</v>
      </c>
    </row>
    <row r="60" spans="2:30" x14ac:dyDescent="0.25">
      <c r="B60" s="708"/>
      <c r="C60" s="10" t="s">
        <v>16</v>
      </c>
      <c r="D60" s="108">
        <v>70</v>
      </c>
      <c r="E60" s="29">
        <v>75</v>
      </c>
      <c r="F60" s="108">
        <v>70</v>
      </c>
      <c r="G60" s="12">
        <v>0</v>
      </c>
      <c r="H60" s="12">
        <v>1</v>
      </c>
      <c r="I60" s="12">
        <v>2</v>
      </c>
      <c r="J60" s="12">
        <v>1</v>
      </c>
      <c r="K60" s="12">
        <v>0</v>
      </c>
      <c r="L60" s="12">
        <v>1</v>
      </c>
      <c r="M60" s="12">
        <v>0</v>
      </c>
      <c r="N60" s="12">
        <v>0</v>
      </c>
      <c r="O60" s="21">
        <v>0</v>
      </c>
      <c r="Q60" s="648"/>
      <c r="R60" s="125" t="s">
        <v>16</v>
      </c>
      <c r="S60" s="16">
        <v>56</v>
      </c>
      <c r="T60" s="16">
        <v>55</v>
      </c>
      <c r="U60" s="16">
        <v>56</v>
      </c>
      <c r="V60" s="11">
        <v>59</v>
      </c>
      <c r="W60" s="11">
        <v>59</v>
      </c>
      <c r="X60" s="16">
        <v>53</v>
      </c>
      <c r="Y60" s="12">
        <v>0</v>
      </c>
      <c r="Z60" s="12">
        <v>1</v>
      </c>
      <c r="AA60" s="12">
        <v>3</v>
      </c>
      <c r="AB60" s="12">
        <v>2</v>
      </c>
      <c r="AC60" s="12">
        <v>1</v>
      </c>
      <c r="AD60" s="12">
        <v>2</v>
      </c>
    </row>
    <row r="61" spans="2:30" x14ac:dyDescent="0.25">
      <c r="B61" s="708"/>
      <c r="C61" s="10" t="s">
        <v>17</v>
      </c>
      <c r="D61" s="28">
        <v>100</v>
      </c>
      <c r="E61" s="28">
        <v>100</v>
      </c>
      <c r="F61" s="28">
        <v>103</v>
      </c>
      <c r="G61" s="12">
        <v>4</v>
      </c>
      <c r="H61" s="12">
        <v>6</v>
      </c>
      <c r="I61" s="12">
        <v>1</v>
      </c>
      <c r="J61" s="12">
        <v>3</v>
      </c>
      <c r="K61" s="12">
        <v>0</v>
      </c>
      <c r="L61" s="12">
        <v>0</v>
      </c>
      <c r="M61" s="12">
        <v>0</v>
      </c>
      <c r="N61" s="12">
        <v>0</v>
      </c>
      <c r="O61" s="21">
        <v>1</v>
      </c>
      <c r="Q61" s="648"/>
      <c r="R61" s="125" t="s">
        <v>17</v>
      </c>
      <c r="S61" s="31">
        <v>66</v>
      </c>
      <c r="T61" s="31">
        <v>66</v>
      </c>
      <c r="U61" s="11">
        <v>60</v>
      </c>
      <c r="V61" s="12">
        <v>0</v>
      </c>
      <c r="W61" s="12">
        <v>1</v>
      </c>
      <c r="X61" s="12">
        <v>0</v>
      </c>
      <c r="Y61" s="12">
        <v>2</v>
      </c>
      <c r="Z61" s="12">
        <v>0</v>
      </c>
      <c r="AA61" s="12">
        <v>3</v>
      </c>
      <c r="AB61" s="12">
        <v>3</v>
      </c>
      <c r="AC61" s="12">
        <v>2</v>
      </c>
      <c r="AD61" s="13">
        <v>6</v>
      </c>
    </row>
    <row r="62" spans="2:30" x14ac:dyDescent="0.25">
      <c r="B62" s="708"/>
      <c r="C62" s="10" t="s">
        <v>18</v>
      </c>
      <c r="D62" s="26">
        <v>125</v>
      </c>
      <c r="E62" s="26">
        <v>122</v>
      </c>
      <c r="F62" s="26">
        <v>118</v>
      </c>
      <c r="G62" s="12">
        <v>3</v>
      </c>
      <c r="H62" s="12">
        <v>1</v>
      </c>
      <c r="I62" s="12">
        <v>4</v>
      </c>
      <c r="J62" s="12">
        <v>0</v>
      </c>
      <c r="K62" s="12">
        <v>2</v>
      </c>
      <c r="L62" s="12">
        <v>2</v>
      </c>
      <c r="M62" s="12">
        <v>4</v>
      </c>
      <c r="N62" s="12">
        <v>4</v>
      </c>
      <c r="O62" s="21">
        <v>4</v>
      </c>
      <c r="Q62" s="648"/>
      <c r="R62" s="125" t="s">
        <v>18</v>
      </c>
      <c r="S62" s="27">
        <v>68</v>
      </c>
      <c r="T62" s="31">
        <v>67</v>
      </c>
      <c r="U62" s="31">
        <v>63</v>
      </c>
      <c r="V62" s="12">
        <v>0</v>
      </c>
      <c r="W62" s="12">
        <v>0</v>
      </c>
      <c r="X62" s="12">
        <v>0</v>
      </c>
      <c r="Y62" s="12">
        <v>3</v>
      </c>
      <c r="Z62" s="12">
        <v>2</v>
      </c>
      <c r="AA62" s="12">
        <v>4</v>
      </c>
      <c r="AB62" s="12">
        <v>2</v>
      </c>
      <c r="AC62" s="12">
        <v>3</v>
      </c>
      <c r="AD62" s="12">
        <v>3</v>
      </c>
    </row>
    <row r="63" spans="2:30" x14ac:dyDescent="0.25">
      <c r="B63" s="708"/>
      <c r="C63" s="10" t="s">
        <v>19</v>
      </c>
      <c r="D63" s="28">
        <v>96</v>
      </c>
      <c r="E63" s="28">
        <v>97</v>
      </c>
      <c r="F63" s="28">
        <v>94</v>
      </c>
      <c r="G63" s="12">
        <v>3</v>
      </c>
      <c r="H63" s="12">
        <v>3</v>
      </c>
      <c r="I63" s="12">
        <v>3</v>
      </c>
      <c r="J63" s="12">
        <v>2</v>
      </c>
      <c r="K63" s="12">
        <v>0</v>
      </c>
      <c r="L63" s="12">
        <v>1</v>
      </c>
      <c r="M63" s="12">
        <v>1</v>
      </c>
      <c r="N63" s="12">
        <v>1</v>
      </c>
      <c r="O63" s="21">
        <v>3</v>
      </c>
      <c r="Q63" s="648"/>
      <c r="R63" s="125" t="s">
        <v>19</v>
      </c>
      <c r="S63" s="11">
        <v>58</v>
      </c>
      <c r="T63" s="11">
        <v>61</v>
      </c>
      <c r="U63" s="11">
        <v>61</v>
      </c>
      <c r="V63" s="12">
        <v>2</v>
      </c>
      <c r="W63" s="13">
        <v>6</v>
      </c>
      <c r="X63" s="12">
        <v>4</v>
      </c>
      <c r="Y63" s="12">
        <v>0</v>
      </c>
      <c r="Z63" s="12">
        <v>4</v>
      </c>
      <c r="AA63" s="12">
        <v>0</v>
      </c>
      <c r="AB63" s="12">
        <v>2</v>
      </c>
      <c r="AC63" s="12">
        <v>1</v>
      </c>
      <c r="AD63" s="12">
        <v>3</v>
      </c>
    </row>
    <row r="64" spans="2:30" ht="15.75" thickBot="1" x14ac:dyDescent="0.3">
      <c r="B64" s="709"/>
      <c r="C64" s="22" t="s">
        <v>20</v>
      </c>
      <c r="D64" s="604">
        <v>195</v>
      </c>
      <c r="E64" s="605">
        <v>201</v>
      </c>
      <c r="F64" s="604">
        <v>190</v>
      </c>
      <c r="G64" s="24">
        <v>4</v>
      </c>
      <c r="H64" s="24">
        <v>0</v>
      </c>
      <c r="I64" s="24">
        <v>6</v>
      </c>
      <c r="J64" s="24">
        <v>2</v>
      </c>
      <c r="K64" s="24">
        <v>0</v>
      </c>
      <c r="L64" s="24">
        <v>3</v>
      </c>
      <c r="M64" s="24">
        <v>2</v>
      </c>
      <c r="N64" s="24">
        <v>0</v>
      </c>
      <c r="O64" s="25">
        <v>0</v>
      </c>
      <c r="Q64" s="656"/>
      <c r="R64" s="125" t="s">
        <v>20</v>
      </c>
      <c r="S64" s="17">
        <v>78</v>
      </c>
      <c r="T64" s="27">
        <v>73</v>
      </c>
      <c r="U64" s="27">
        <v>73</v>
      </c>
      <c r="V64" s="12">
        <v>1</v>
      </c>
      <c r="W64" s="12">
        <v>0</v>
      </c>
      <c r="X64" s="12">
        <v>2</v>
      </c>
      <c r="Y64" s="12">
        <v>0</v>
      </c>
      <c r="Z64" s="12">
        <v>0</v>
      </c>
      <c r="AA64" s="13">
        <v>7</v>
      </c>
      <c r="AB64" s="12">
        <v>3</v>
      </c>
      <c r="AC64" s="12">
        <v>3</v>
      </c>
      <c r="AD64" s="12">
        <v>2</v>
      </c>
    </row>
  </sheetData>
  <mergeCells count="16">
    <mergeCell ref="Q56:Q64"/>
    <mergeCell ref="B47:B55"/>
    <mergeCell ref="B38:B46"/>
    <mergeCell ref="B29:B37"/>
    <mergeCell ref="B20:B28"/>
    <mergeCell ref="Q20:Q28"/>
    <mergeCell ref="Q29:Q37"/>
    <mergeCell ref="Q38:Q46"/>
    <mergeCell ref="Q47:Q55"/>
    <mergeCell ref="B56:B64"/>
    <mergeCell ref="Q1:AD1"/>
    <mergeCell ref="Q2:Q10"/>
    <mergeCell ref="B2:B10"/>
    <mergeCell ref="B1:O1"/>
    <mergeCell ref="B11:B19"/>
    <mergeCell ref="Q11:Q19"/>
  </mergeCells>
  <hyperlinks>
    <hyperlink ref="A1" location="'Table of Contents'!A1" display="Table of Contents" xr:uid="{0BE1B0E2-7C2E-4D7B-85C5-6E0A2D26D05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F045-0456-4E9E-A985-6AC7F29E9374}">
  <sheetPr codeName="Sheet5"/>
  <dimension ref="A1:T76"/>
  <sheetViews>
    <sheetView topLeftCell="A21" zoomScaleNormal="100" workbookViewId="0">
      <selection activeCell="I46" sqref="I46"/>
    </sheetView>
  </sheetViews>
  <sheetFormatPr defaultRowHeight="15" x14ac:dyDescent="0.25"/>
  <cols>
    <col min="1" max="1" width="16.5703125" customWidth="1"/>
    <col min="2" max="2" width="11.5703125" customWidth="1"/>
    <col min="3" max="3" width="10.5703125" customWidth="1"/>
    <col min="8" max="8" width="11.85546875" customWidth="1"/>
    <col min="9" max="9" width="12" customWidth="1"/>
    <col min="14" max="14" width="17.7109375" bestFit="1" customWidth="1"/>
    <col min="17" max="17" width="13.28515625" customWidth="1"/>
    <col min="18" max="18" width="15.140625" customWidth="1"/>
    <col min="19" max="19" width="12" bestFit="1" customWidth="1"/>
  </cols>
  <sheetData>
    <row r="1" spans="1:20" ht="15.75" thickBot="1" x14ac:dyDescent="0.3">
      <c r="A1" s="1" t="s">
        <v>9</v>
      </c>
      <c r="B1" s="704" t="s">
        <v>7</v>
      </c>
      <c r="C1" s="705"/>
      <c r="D1" s="705"/>
      <c r="E1" s="705"/>
      <c r="F1" s="706"/>
      <c r="H1" s="716" t="s">
        <v>93</v>
      </c>
      <c r="I1" s="649"/>
      <c r="J1" s="649"/>
      <c r="K1" s="649"/>
      <c r="L1" s="717"/>
    </row>
    <row r="2" spans="1:20" ht="15.75" thickBot="1" x14ac:dyDescent="0.3">
      <c r="B2" s="43" t="s">
        <v>8</v>
      </c>
      <c r="C2" s="39" t="s">
        <v>10</v>
      </c>
      <c r="D2" s="39" t="s">
        <v>56</v>
      </c>
      <c r="E2" s="39" t="s">
        <v>57</v>
      </c>
      <c r="F2" s="50" t="s">
        <v>58</v>
      </c>
      <c r="H2" s="35" t="s">
        <v>8</v>
      </c>
      <c r="I2" s="36" t="s">
        <v>10</v>
      </c>
      <c r="J2" s="36" t="s">
        <v>56</v>
      </c>
      <c r="K2" s="36" t="s">
        <v>57</v>
      </c>
      <c r="L2" s="49" t="s">
        <v>58</v>
      </c>
      <c r="N2" s="647" t="s">
        <v>10</v>
      </c>
      <c r="O2" s="640" t="s">
        <v>42</v>
      </c>
      <c r="P2" s="634"/>
      <c r="Q2" s="637"/>
      <c r="R2" s="640" t="s">
        <v>63</v>
      </c>
      <c r="S2" s="634"/>
      <c r="T2" s="637"/>
    </row>
    <row r="3" spans="1:20" ht="15.75" thickBot="1" x14ac:dyDescent="0.3">
      <c r="B3" s="627" t="s">
        <v>26</v>
      </c>
      <c r="C3" s="635" t="s">
        <v>24</v>
      </c>
      <c r="D3" s="39" t="s">
        <v>21</v>
      </c>
      <c r="E3" s="8">
        <f>AVERAGE('Alamar Blue - Raw'!D3:F3)</f>
        <v>49</v>
      </c>
      <c r="F3" s="9">
        <f t="shared" ref="F3:F9" si="0">E3/$E$3</f>
        <v>1</v>
      </c>
      <c r="H3" s="627" t="s">
        <v>26</v>
      </c>
      <c r="I3" s="638" t="s">
        <v>34</v>
      </c>
      <c r="J3" s="240" t="s">
        <v>21</v>
      </c>
      <c r="K3" s="8">
        <f>AVERAGE('Alamar Blue - Raw'!S12:U12)</f>
        <v>47.333333333333336</v>
      </c>
      <c r="L3" s="9">
        <f t="shared" ref="L3:L9" si="1">K3/$K$3</f>
        <v>1</v>
      </c>
      <c r="N3" s="656"/>
      <c r="O3" s="33" t="s">
        <v>81</v>
      </c>
      <c r="P3" s="101" t="s">
        <v>82</v>
      </c>
      <c r="Q3" s="33" t="s">
        <v>83</v>
      </c>
      <c r="R3" s="32" t="s">
        <v>81</v>
      </c>
      <c r="S3" s="101" t="s">
        <v>82</v>
      </c>
      <c r="T3" s="78" t="s">
        <v>83</v>
      </c>
    </row>
    <row r="4" spans="1:20" x14ac:dyDescent="0.25">
      <c r="B4" s="628"/>
      <c r="C4" s="657"/>
      <c r="D4" s="37" t="s">
        <v>13</v>
      </c>
      <c r="E4">
        <f>AVERAGE('Alamar Blue - Raw'!D4:F4)</f>
        <v>62</v>
      </c>
      <c r="F4" s="4">
        <f t="shared" si="0"/>
        <v>1.2653061224489797</v>
      </c>
      <c r="H4" s="628"/>
      <c r="I4" s="696"/>
      <c r="J4" s="40" t="s">
        <v>13</v>
      </c>
      <c r="K4">
        <f>AVERAGE('Alamar Blue - Raw'!S13:U13)</f>
        <v>54</v>
      </c>
      <c r="L4" s="4">
        <f t="shared" si="1"/>
        <v>1.1408450704225352</v>
      </c>
      <c r="N4" s="89" t="s">
        <v>26</v>
      </c>
      <c r="O4" s="45">
        <f>AVERAGE(F4:F9)</f>
        <v>1.2766439909297052</v>
      </c>
      <c r="P4" s="102">
        <f>STDEV(F4:F9)</f>
        <v>4.6071383579864948E-2</v>
      </c>
      <c r="Q4">
        <v>6</v>
      </c>
      <c r="R4" s="91">
        <f>AVERAGE(L4:L9)</f>
        <v>1.0481220657276993</v>
      </c>
      <c r="S4" s="102">
        <f>STDEV(L4:L9)</f>
        <v>0.14693973185626047</v>
      </c>
      <c r="T4" s="4">
        <v>6</v>
      </c>
    </row>
    <row r="5" spans="1:20" x14ac:dyDescent="0.25">
      <c r="B5" s="628"/>
      <c r="C5" s="657"/>
      <c r="D5" s="37" t="s">
        <v>14</v>
      </c>
      <c r="E5">
        <f>AVERAGE('Alamar Blue - Raw'!D5:F5)</f>
        <v>65</v>
      </c>
      <c r="F5" s="4">
        <f t="shared" si="0"/>
        <v>1.3265306122448979</v>
      </c>
      <c r="H5" s="628"/>
      <c r="I5" s="696"/>
      <c r="J5" s="40" t="s">
        <v>14</v>
      </c>
      <c r="K5">
        <f>AVERAGE('Alamar Blue - Raw'!S14:U14)</f>
        <v>52.666666666666664</v>
      </c>
      <c r="L5" s="4">
        <f t="shared" si="1"/>
        <v>1.112676056338028</v>
      </c>
      <c r="N5" s="89" t="s">
        <v>11</v>
      </c>
      <c r="O5" s="45">
        <f>AVERAGE(F15:F20)</f>
        <v>1.228395061728395</v>
      </c>
      <c r="P5" s="102">
        <f>STDEV(F15:F20)</f>
        <v>0.30505945510292104</v>
      </c>
      <c r="Q5">
        <v>6</v>
      </c>
      <c r="R5" s="91">
        <f>AVERAGE(L12:L17)</f>
        <v>1.3432098765432097</v>
      </c>
      <c r="S5" s="102">
        <f>STDEV(L12:L17)</f>
        <v>6.4178534701371762E-2</v>
      </c>
      <c r="T5" s="4">
        <v>6</v>
      </c>
    </row>
    <row r="6" spans="1:20" x14ac:dyDescent="0.25">
      <c r="B6" s="628"/>
      <c r="C6" s="657"/>
      <c r="D6" s="37" t="s">
        <v>15</v>
      </c>
      <c r="E6">
        <f>AVERAGE('Alamar Blue - Raw'!D6:F6)</f>
        <v>64</v>
      </c>
      <c r="F6" s="4">
        <f t="shared" si="0"/>
        <v>1.3061224489795917</v>
      </c>
      <c r="H6" s="628"/>
      <c r="I6" s="696"/>
      <c r="J6" s="40" t="s">
        <v>15</v>
      </c>
      <c r="K6">
        <f>AVERAGE('Alamar Blue - Raw'!S15:U15)</f>
        <v>52.666666666666664</v>
      </c>
      <c r="L6" s="4">
        <f t="shared" si="1"/>
        <v>1.112676056338028</v>
      </c>
      <c r="N6" s="89" t="s">
        <v>12</v>
      </c>
      <c r="O6" s="45">
        <f>AVERAGE(F23:F28)</f>
        <v>1.9259259259259258</v>
      </c>
      <c r="P6" s="102">
        <f>STDEV(F23:F28)</f>
        <v>0.25005897795403986</v>
      </c>
      <c r="Q6">
        <v>6</v>
      </c>
      <c r="R6" s="91">
        <f>AVERAGE(L20:L24)</f>
        <v>1.6372670807453418</v>
      </c>
      <c r="S6" s="102">
        <f>STDEV(L20:L24)</f>
        <v>0.22781572346498744</v>
      </c>
      <c r="T6" s="4">
        <v>5</v>
      </c>
    </row>
    <row r="7" spans="1:20" ht="15.75" thickBot="1" x14ac:dyDescent="0.3">
      <c r="B7" s="628"/>
      <c r="C7" s="657"/>
      <c r="D7" s="37" t="s">
        <v>16</v>
      </c>
      <c r="E7">
        <f>AVERAGE('Alamar Blue - Raw'!D7:F7)</f>
        <v>60.666666666666664</v>
      </c>
      <c r="F7" s="4">
        <f t="shared" si="0"/>
        <v>1.2380952380952381</v>
      </c>
      <c r="H7" s="628"/>
      <c r="I7" s="696"/>
      <c r="J7" s="40" t="s">
        <v>16</v>
      </c>
      <c r="K7">
        <f>AVERAGE('Alamar Blue - Raw'!S16:U16)</f>
        <v>52.666666666666664</v>
      </c>
      <c r="L7" s="4">
        <f t="shared" si="1"/>
        <v>1.112676056338028</v>
      </c>
      <c r="N7" s="90" t="s">
        <v>80</v>
      </c>
      <c r="O7" s="86">
        <f>AVERAGE(F39:F44)</f>
        <v>2.174074074074074</v>
      </c>
      <c r="P7" s="103">
        <f>STDEV(F39:F44)</f>
        <v>0.377261811773695</v>
      </c>
      <c r="Q7" s="6">
        <v>6</v>
      </c>
      <c r="R7" s="97">
        <f>AVERAGE(L27,L29,L30,L32,L33)</f>
        <v>2.2666626833567354</v>
      </c>
      <c r="S7" s="103">
        <f>STDEV(L27,L29,L30,L32,L33)</f>
        <v>0.40952054819316941</v>
      </c>
      <c r="T7" s="7">
        <v>5</v>
      </c>
    </row>
    <row r="8" spans="1:20" x14ac:dyDescent="0.25">
      <c r="B8" s="628"/>
      <c r="C8" s="657"/>
      <c r="D8" s="37" t="s">
        <v>17</v>
      </c>
      <c r="E8">
        <f>AVERAGE('Alamar Blue - Raw'!D8:F8)</f>
        <v>59.333333333333336</v>
      </c>
      <c r="F8" s="4">
        <f t="shared" si="0"/>
        <v>1.2108843537414966</v>
      </c>
      <c r="H8" s="628"/>
      <c r="I8" s="696"/>
      <c r="J8" s="40" t="s">
        <v>17</v>
      </c>
      <c r="K8">
        <f>AVERAGE('Alamar Blue - Raw'!S17:U17)</f>
        <v>50</v>
      </c>
      <c r="L8" s="4">
        <f t="shared" si="1"/>
        <v>1.056338028169014</v>
      </c>
    </row>
    <row r="9" spans="1:20" ht="15.75" thickBot="1" x14ac:dyDescent="0.3">
      <c r="B9" s="628"/>
      <c r="C9" s="658"/>
      <c r="D9" s="151" t="s">
        <v>18</v>
      </c>
      <c r="E9" s="162">
        <f>AVERAGE('Alamar Blue - Raw'!D9:F9)</f>
        <v>64.333333333333329</v>
      </c>
      <c r="F9" s="165">
        <f t="shared" si="0"/>
        <v>1.3129251700680271</v>
      </c>
      <c r="H9" s="628"/>
      <c r="I9" s="696"/>
      <c r="J9" s="47" t="s">
        <v>18</v>
      </c>
      <c r="K9" s="3">
        <f>AVERAGE('Alamar Blue - Raw'!S18:U18)</f>
        <v>35.666666666666664</v>
      </c>
      <c r="L9" s="5">
        <f t="shared" si="1"/>
        <v>0.75352112676056326</v>
      </c>
    </row>
    <row r="10" spans="1:20" ht="16.5" thickTop="1" thickBot="1" x14ac:dyDescent="0.3">
      <c r="B10" s="628"/>
      <c r="C10" s="680" t="s">
        <v>210</v>
      </c>
      <c r="D10" s="150" t="s">
        <v>21</v>
      </c>
      <c r="E10" s="268">
        <f>AVERAGE('Alamar Blue - Raw'!D48:F48)</f>
        <v>78</v>
      </c>
      <c r="F10" s="164">
        <f>E10/$E$10</f>
        <v>1</v>
      </c>
      <c r="H10" s="629"/>
      <c r="I10" s="639"/>
      <c r="J10" s="46" t="s">
        <v>2</v>
      </c>
      <c r="K10" s="6"/>
      <c r="L10" s="7">
        <f>AVERAGE(L4:L8)</f>
        <v>1.1070422535211266</v>
      </c>
      <c r="N10" s="87" t="s">
        <v>10</v>
      </c>
      <c r="O10" s="92" t="s">
        <v>70</v>
      </c>
      <c r="Q10" s="87" t="s">
        <v>10</v>
      </c>
      <c r="R10" s="95" t="s">
        <v>72</v>
      </c>
      <c r="S10" s="96" t="s">
        <v>73</v>
      </c>
    </row>
    <row r="11" spans="1:20" x14ac:dyDescent="0.25">
      <c r="B11" s="628"/>
      <c r="C11" s="657"/>
      <c r="D11" s="37" t="s">
        <v>13</v>
      </c>
      <c r="E11">
        <f>AVERAGE('Alamar Blue - Raw'!D49:F49)</f>
        <v>87</v>
      </c>
      <c r="F11" s="4">
        <f>E11/$E$10</f>
        <v>1.1153846153846154</v>
      </c>
      <c r="H11" s="627" t="s">
        <v>11</v>
      </c>
      <c r="I11" s="638" t="s">
        <v>35</v>
      </c>
      <c r="J11" s="240" t="s">
        <v>21</v>
      </c>
      <c r="K11" s="8">
        <f>AVERAGE('Alamar Blue - Raw'!S21:U21)</f>
        <v>45</v>
      </c>
      <c r="L11" s="9">
        <f t="shared" ref="L11:L17" si="2">K11/$K$11</f>
        <v>1</v>
      </c>
      <c r="N11" s="80" t="s">
        <v>26</v>
      </c>
      <c r="O11" s="93">
        <f>TTEST(F4:F9,L4:L9,1,2)</f>
        <v>2.2873215816324147E-3</v>
      </c>
      <c r="Q11" s="80" t="s">
        <v>74</v>
      </c>
      <c r="R11" s="79">
        <f>TTEST(F4:F9,F15:F20,1,2)</f>
        <v>0.35484133736639867</v>
      </c>
      <c r="S11" s="93">
        <f>TTEST(L4:L9,L12:L17,1,2)</f>
        <v>5.6461840089578588E-4</v>
      </c>
    </row>
    <row r="12" spans="1:20" ht="15.75" thickBot="1" x14ac:dyDescent="0.3">
      <c r="B12" s="628"/>
      <c r="C12" s="681"/>
      <c r="D12" s="48" t="s">
        <v>14</v>
      </c>
      <c r="E12" s="3">
        <f>AVERAGE('Alamar Blue - Raw'!D50:F50)</f>
        <v>91.333333333333329</v>
      </c>
      <c r="F12" s="5">
        <f>E12/$E$10</f>
        <v>1.1709401709401708</v>
      </c>
      <c r="H12" s="628"/>
      <c r="I12" s="696"/>
      <c r="J12" s="40" t="s">
        <v>13</v>
      </c>
      <c r="K12">
        <f>AVERAGE('Alamar Blue - Raw'!S22:U22)</f>
        <v>65.666666666666671</v>
      </c>
      <c r="L12" s="4">
        <f t="shared" si="2"/>
        <v>1.4592592592592593</v>
      </c>
      <c r="N12" s="80" t="s">
        <v>11</v>
      </c>
      <c r="O12" s="93">
        <f>TTEST(F15:F20,L12:L17,1,2)</f>
        <v>0.19409192106715478</v>
      </c>
      <c r="Q12" s="80" t="s">
        <v>75</v>
      </c>
      <c r="R12" s="79">
        <f>TTEST(F4:F9,F23:F28,1,2)</f>
        <v>4.7226763532185466E-5</v>
      </c>
      <c r="S12" s="93">
        <f>TTEST(L4:L9,L20:L24,1,2)</f>
        <v>2.8353955418637254E-4</v>
      </c>
    </row>
    <row r="13" spans="1:20" ht="16.5" thickTop="1" thickBot="1" x14ac:dyDescent="0.3">
      <c r="B13" s="629"/>
      <c r="C13" s="718" t="s">
        <v>2</v>
      </c>
      <c r="D13" s="649"/>
      <c r="E13" s="6"/>
      <c r="F13" s="7">
        <f>AVERAGE(F4:F9,F11:F12)</f>
        <v>1.2432735914878772</v>
      </c>
      <c r="H13" s="628"/>
      <c r="I13" s="696"/>
      <c r="J13" s="40" t="s">
        <v>14</v>
      </c>
      <c r="K13">
        <f>AVERAGE('Alamar Blue - Raw'!S23:U23)</f>
        <v>61</v>
      </c>
      <c r="L13" s="4">
        <f t="shared" si="2"/>
        <v>1.3555555555555556</v>
      </c>
      <c r="N13" s="80" t="s">
        <v>12</v>
      </c>
      <c r="O13" s="93">
        <f>TTEST(F23:F28,L20:L24,1,2)</f>
        <v>3.9355906711637252E-2</v>
      </c>
      <c r="Q13" s="80" t="s">
        <v>76</v>
      </c>
      <c r="R13" s="79">
        <f>TTEST(F15:F20,F23:F28,1,2)</f>
        <v>7.4292323861039917E-4</v>
      </c>
      <c r="S13" s="93">
        <f>TTEST(L20:L24,L12:L17,1,2)</f>
        <v>6.8991951411301331E-3</v>
      </c>
    </row>
    <row r="14" spans="1:20" ht="15.75" thickBot="1" x14ac:dyDescent="0.3">
      <c r="B14" s="627" t="s">
        <v>11</v>
      </c>
      <c r="C14" s="638" t="s">
        <v>31</v>
      </c>
      <c r="D14" s="39" t="s">
        <v>21</v>
      </c>
      <c r="E14" s="8">
        <f>AVERAGE('Alamar Blue - Raw'!D21:F21)</f>
        <v>36</v>
      </c>
      <c r="F14" s="9">
        <f t="shared" ref="F14:F20" si="3">E14/$E$14</f>
        <v>1</v>
      </c>
      <c r="H14" s="628"/>
      <c r="I14" s="696"/>
      <c r="J14" s="40" t="s">
        <v>15</v>
      </c>
      <c r="K14">
        <f>AVERAGE('Alamar Blue - Raw'!S24:U24)</f>
        <v>58.666666666666664</v>
      </c>
      <c r="L14" s="4">
        <f t="shared" si="2"/>
        <v>1.3037037037037036</v>
      </c>
      <c r="N14" s="262" t="s">
        <v>145</v>
      </c>
      <c r="O14" s="7">
        <f>TTEST(F39:F44,J71:J76,1,2)</f>
        <v>0.3376956806057998</v>
      </c>
      <c r="Q14" s="81" t="s">
        <v>71</v>
      </c>
      <c r="R14" s="82">
        <f>TTEST(F23:F28,F39:F44,1,2)</f>
        <v>0.1044855290603572</v>
      </c>
      <c r="S14" s="94">
        <f>TTEST(L27:L30,L20:L24,1,2)</f>
        <v>1.1132394062385137E-2</v>
      </c>
    </row>
    <row r="15" spans="1:20" x14ac:dyDescent="0.25">
      <c r="B15" s="628"/>
      <c r="C15" s="696"/>
      <c r="D15" s="37" t="s">
        <v>13</v>
      </c>
      <c r="E15">
        <f>AVERAGE('Alamar Blue - Raw'!D22:F22)</f>
        <v>41.333333333333336</v>
      </c>
      <c r="F15" s="4">
        <f t="shared" si="3"/>
        <v>1.1481481481481481</v>
      </c>
      <c r="H15" s="628"/>
      <c r="I15" s="696"/>
      <c r="J15" s="40" t="s">
        <v>16</v>
      </c>
      <c r="K15">
        <f>AVERAGE('Alamar Blue - Raw'!S25:U25)</f>
        <v>57.333333333333336</v>
      </c>
      <c r="L15" s="4">
        <f t="shared" si="2"/>
        <v>1.2740740740740741</v>
      </c>
    </row>
    <row r="16" spans="1:20" x14ac:dyDescent="0.25">
      <c r="B16" s="628"/>
      <c r="C16" s="696"/>
      <c r="D16" s="37" t="s">
        <v>14</v>
      </c>
      <c r="E16">
        <f>AVERAGE('Alamar Blue - Raw'!D23:F23)</f>
        <v>35.666666666666664</v>
      </c>
      <c r="F16" s="4">
        <f t="shared" si="3"/>
        <v>0.9907407407407407</v>
      </c>
      <c r="H16" s="628"/>
      <c r="I16" s="696"/>
      <c r="J16" s="40" t="s">
        <v>17</v>
      </c>
      <c r="K16">
        <f>AVERAGE('Alamar Blue - Raw'!S26:U26)</f>
        <v>60.666666666666664</v>
      </c>
      <c r="L16" s="4">
        <f t="shared" si="2"/>
        <v>1.3481481481481481</v>
      </c>
    </row>
    <row r="17" spans="2:12" ht="15.75" thickBot="1" x14ac:dyDescent="0.3">
      <c r="B17" s="628"/>
      <c r="C17" s="696"/>
      <c r="D17" s="37" t="s">
        <v>15</v>
      </c>
      <c r="E17">
        <f>AVERAGE('Alamar Blue - Raw'!D24:F24)</f>
        <v>54.333333333333336</v>
      </c>
      <c r="F17" s="4">
        <f t="shared" si="3"/>
        <v>1.5092592592592593</v>
      </c>
      <c r="H17" s="628"/>
      <c r="I17" s="696"/>
      <c r="J17" s="47" t="s">
        <v>18</v>
      </c>
      <c r="K17" s="3">
        <f>AVERAGE('Alamar Blue - Raw'!S27:U27)</f>
        <v>59.333333333333336</v>
      </c>
      <c r="L17" s="5">
        <f t="shared" si="2"/>
        <v>1.3185185185185186</v>
      </c>
    </row>
    <row r="18" spans="2:12" ht="16.5" thickTop="1" thickBot="1" x14ac:dyDescent="0.3">
      <c r="B18" s="628"/>
      <c r="C18" s="696"/>
      <c r="D18" s="37" t="s">
        <v>16</v>
      </c>
      <c r="E18">
        <f>AVERAGE('Alamar Blue - Raw'!D25:F25)</f>
        <v>28</v>
      </c>
      <c r="F18" s="4">
        <f t="shared" si="3"/>
        <v>0.77777777777777779</v>
      </c>
      <c r="H18" s="629"/>
      <c r="I18" s="639"/>
      <c r="J18" s="40" t="s">
        <v>2</v>
      </c>
      <c r="L18" s="4">
        <f>AVERAGE(L12:L17)</f>
        <v>1.3432098765432097</v>
      </c>
    </row>
    <row r="19" spans="2:12" x14ac:dyDescent="0.25">
      <c r="B19" s="628"/>
      <c r="C19" s="696"/>
      <c r="D19" s="37" t="s">
        <v>17</v>
      </c>
      <c r="E19">
        <f>AVERAGE('Alamar Blue - Raw'!D26:F26)</f>
        <v>54</v>
      </c>
      <c r="F19" s="4">
        <f t="shared" si="3"/>
        <v>1.5</v>
      </c>
      <c r="H19" s="719" t="s">
        <v>12</v>
      </c>
      <c r="I19" s="638" t="s">
        <v>28</v>
      </c>
      <c r="J19" s="240" t="s">
        <v>21</v>
      </c>
      <c r="K19" s="8">
        <f>AVERAGE('Alamar Blue - Raw'!S3:U3)</f>
        <v>53.666666666666664</v>
      </c>
      <c r="L19" s="9">
        <f t="shared" ref="L19:L24" si="4">K19/$K$19</f>
        <v>1</v>
      </c>
    </row>
    <row r="20" spans="2:12" ht="15.75" thickBot="1" x14ac:dyDescent="0.3">
      <c r="B20" s="628"/>
      <c r="C20" s="696"/>
      <c r="D20" s="48" t="s">
        <v>18</v>
      </c>
      <c r="E20" s="3">
        <f>AVERAGE('Alamar Blue - Raw'!D27:F27)</f>
        <v>52</v>
      </c>
      <c r="F20" s="5">
        <f t="shared" si="3"/>
        <v>1.4444444444444444</v>
      </c>
      <c r="H20" s="720"/>
      <c r="I20" s="696"/>
      <c r="J20" s="40" t="s">
        <v>13</v>
      </c>
      <c r="K20">
        <f>AVERAGE('Alamar Blue - Raw'!S4:U4)</f>
        <v>74.666666666666671</v>
      </c>
      <c r="L20" s="4">
        <f t="shared" si="4"/>
        <v>1.3913043478260871</v>
      </c>
    </row>
    <row r="21" spans="2:12" ht="16.5" thickTop="1" thickBot="1" x14ac:dyDescent="0.3">
      <c r="B21" s="629"/>
      <c r="C21" s="639"/>
      <c r="D21" s="33" t="s">
        <v>2</v>
      </c>
      <c r="E21" s="6"/>
      <c r="F21" s="7">
        <f>AVERAGE(F15:F20)</f>
        <v>1.228395061728395</v>
      </c>
      <c r="H21" s="720"/>
      <c r="I21" s="696"/>
      <c r="J21" s="40" t="s">
        <v>14</v>
      </c>
      <c r="K21">
        <f>AVERAGE('Alamar Blue - Raw'!S5:U5)</f>
        <v>100</v>
      </c>
      <c r="L21" s="4">
        <f t="shared" si="4"/>
        <v>1.8633540372670809</v>
      </c>
    </row>
    <row r="22" spans="2:12" x14ac:dyDescent="0.25">
      <c r="B22" s="627" t="s">
        <v>12</v>
      </c>
      <c r="C22" s="638" t="s">
        <v>51</v>
      </c>
      <c r="D22" s="39" t="s">
        <v>21</v>
      </c>
      <c r="E22" s="8">
        <f>AVERAGE('Alamar Blue - Raw'!D39:F39)</f>
        <v>45</v>
      </c>
      <c r="F22" s="9">
        <f t="shared" ref="F22:F28" si="5">E22/$E$22</f>
        <v>1</v>
      </c>
      <c r="H22" s="720"/>
      <c r="I22" s="696"/>
      <c r="J22" s="40" t="s">
        <v>15</v>
      </c>
      <c r="K22">
        <f>AVERAGE('Alamar Blue - Raw'!S6:U6)</f>
        <v>75.333333333333329</v>
      </c>
      <c r="L22" s="4">
        <f t="shared" si="4"/>
        <v>1.4037267080745341</v>
      </c>
    </row>
    <row r="23" spans="2:12" x14ac:dyDescent="0.25">
      <c r="B23" s="628"/>
      <c r="C23" s="696"/>
      <c r="D23" s="37" t="s">
        <v>13</v>
      </c>
      <c r="E23">
        <f>AVERAGE('Alamar Blue - Raw'!D40:F40)</f>
        <v>87.333333333333329</v>
      </c>
      <c r="F23" s="4">
        <f t="shared" si="5"/>
        <v>1.9407407407407407</v>
      </c>
      <c r="H23" s="720"/>
      <c r="I23" s="696"/>
      <c r="J23" s="40" t="s">
        <v>16</v>
      </c>
      <c r="K23">
        <f>AVERAGE('Alamar Blue - Raw'!S7:U7)</f>
        <v>98.333333333333329</v>
      </c>
      <c r="L23" s="4">
        <f t="shared" si="4"/>
        <v>1.8322981366459627</v>
      </c>
    </row>
    <row r="24" spans="2:12" ht="15.75" thickBot="1" x14ac:dyDescent="0.3">
      <c r="B24" s="628"/>
      <c r="C24" s="696"/>
      <c r="D24" s="37" t="s">
        <v>14</v>
      </c>
      <c r="E24">
        <f>AVERAGE('Alamar Blue - Raw'!D41:F41)</f>
        <v>74.666666666666671</v>
      </c>
      <c r="F24" s="4">
        <f t="shared" si="5"/>
        <v>1.6592592592592594</v>
      </c>
      <c r="H24" s="720"/>
      <c r="I24" s="696"/>
      <c r="J24" s="47" t="s">
        <v>17</v>
      </c>
      <c r="K24" s="3">
        <f>AVERAGE('Alamar Blue - Raw'!S8:U8)</f>
        <v>91</v>
      </c>
      <c r="L24" s="5">
        <f t="shared" si="4"/>
        <v>1.6956521739130435</v>
      </c>
    </row>
    <row r="25" spans="2:12" ht="16.5" thickTop="1" thickBot="1" x14ac:dyDescent="0.3">
      <c r="B25" s="628"/>
      <c r="C25" s="696"/>
      <c r="D25" s="37" t="s">
        <v>15</v>
      </c>
      <c r="E25">
        <f>AVERAGE('Alamar Blue - Raw'!D42:F42)</f>
        <v>79</v>
      </c>
      <c r="F25" s="4">
        <f t="shared" si="5"/>
        <v>1.7555555555555555</v>
      </c>
      <c r="H25" s="721"/>
      <c r="I25" s="639"/>
      <c r="J25" s="46" t="s">
        <v>2</v>
      </c>
      <c r="K25" s="6"/>
      <c r="L25" s="7">
        <f>AVERAGE(L20:L24)</f>
        <v>1.6372670807453418</v>
      </c>
    </row>
    <row r="26" spans="2:12" x14ac:dyDescent="0.25">
      <c r="B26" s="628"/>
      <c r="C26" s="696"/>
      <c r="D26" s="37" t="s">
        <v>16</v>
      </c>
      <c r="E26">
        <f>AVERAGE('Alamar Blue - Raw'!D43:F43)</f>
        <v>85</v>
      </c>
      <c r="F26" s="4">
        <f t="shared" si="5"/>
        <v>1.8888888888888888</v>
      </c>
      <c r="H26" s="627" t="s">
        <v>37</v>
      </c>
      <c r="I26" s="635" t="s">
        <v>113</v>
      </c>
      <c r="J26" s="240" t="s">
        <v>21</v>
      </c>
      <c r="K26" s="8">
        <f>AVERAGE('Alamar Blue - Raw'!S30:U30)</f>
        <v>59.666666666666664</v>
      </c>
      <c r="L26" s="9">
        <f>K26/$K$26</f>
        <v>1</v>
      </c>
    </row>
    <row r="27" spans="2:12" x14ac:dyDescent="0.25">
      <c r="B27" s="628"/>
      <c r="C27" s="696"/>
      <c r="D27" s="37" t="s">
        <v>17</v>
      </c>
      <c r="E27">
        <f>AVERAGE('Alamar Blue - Raw'!D44:F44)</f>
        <v>107.33333333333333</v>
      </c>
      <c r="F27" s="4">
        <f t="shared" si="5"/>
        <v>2.3851851851851853</v>
      </c>
      <c r="H27" s="628"/>
      <c r="I27" s="657"/>
      <c r="J27" s="40" t="s">
        <v>13</v>
      </c>
      <c r="K27">
        <f>AVERAGE('Alamar Blue - Raw'!S31:U31)</f>
        <v>156.66666666666666</v>
      </c>
      <c r="L27" s="4">
        <f>K27/$K$26</f>
        <v>2.6256983240223462</v>
      </c>
    </row>
    <row r="28" spans="2:12" ht="15.75" thickBot="1" x14ac:dyDescent="0.3">
      <c r="B28" s="628"/>
      <c r="C28" s="696"/>
      <c r="D28" s="73" t="s">
        <v>18</v>
      </c>
      <c r="E28" s="3">
        <f>AVERAGE('Alamar Blue - Raw'!D45:F45)</f>
        <v>86.666666666666671</v>
      </c>
      <c r="F28" s="5">
        <f t="shared" si="5"/>
        <v>1.925925925925926</v>
      </c>
      <c r="H28" s="628"/>
      <c r="I28" s="657"/>
      <c r="J28" s="110" t="s">
        <v>14</v>
      </c>
      <c r="K28" s="111">
        <f>AVERAGE('Alamar Blue - Raw'!S32:U32)</f>
        <v>402.33333333333331</v>
      </c>
      <c r="L28" s="112"/>
    </row>
    <row r="29" spans="2:12" ht="16.5" thickTop="1" thickBot="1" x14ac:dyDescent="0.3">
      <c r="B29" s="629"/>
      <c r="C29" s="639"/>
      <c r="D29" s="33" t="s">
        <v>2</v>
      </c>
      <c r="E29" s="6"/>
      <c r="F29" s="7">
        <f>AVERAGE(F23:F28)</f>
        <v>1.9259259259259258</v>
      </c>
      <c r="H29" s="628"/>
      <c r="I29" s="657"/>
      <c r="J29" s="40" t="s">
        <v>15</v>
      </c>
      <c r="K29">
        <f>AVERAGE('Alamar Blue - Raw'!S33:U33)</f>
        <v>110.33333333333333</v>
      </c>
      <c r="L29" s="4">
        <f>K29/$K$26</f>
        <v>1.8491620111731844</v>
      </c>
    </row>
    <row r="30" spans="2:12" x14ac:dyDescent="0.25">
      <c r="B30" s="724" t="s">
        <v>12</v>
      </c>
      <c r="C30" s="727" t="s">
        <v>59</v>
      </c>
      <c r="D30" s="39" t="s">
        <v>21</v>
      </c>
      <c r="E30" s="8">
        <f>AVERAGE('Alamar Blue - Raw'!D12:F12)</f>
        <v>47.333333333333336</v>
      </c>
      <c r="F30" s="9">
        <f>E30/E30</f>
        <v>1</v>
      </c>
      <c r="H30" s="628"/>
      <c r="I30" s="658"/>
      <c r="J30" s="298" t="s">
        <v>16</v>
      </c>
      <c r="K30" s="162">
        <f>AVERAGE('Alamar Blue - Raw'!S34:U34)</f>
        <v>145.66666666666666</v>
      </c>
      <c r="L30" s="165">
        <f>K30/$K$26</f>
        <v>2.441340782122905</v>
      </c>
    </row>
    <row r="31" spans="2:12" x14ac:dyDescent="0.25">
      <c r="B31" s="725"/>
      <c r="C31" s="728"/>
      <c r="D31" s="37" t="s">
        <v>13</v>
      </c>
      <c r="E31">
        <f>AVERAGE('Alamar Blue - Raw'!D13:F13)</f>
        <v>105</v>
      </c>
      <c r="F31" s="4">
        <f t="shared" ref="F31:F36" si="6">E31/$E$30</f>
        <v>2.2183098591549295</v>
      </c>
      <c r="H31" s="628"/>
      <c r="I31" s="680" t="s">
        <v>154</v>
      </c>
      <c r="J31" s="299" t="s">
        <v>21</v>
      </c>
      <c r="K31" s="268">
        <f>AVERAGE('Alamar Blue - Raw'!S39:U39)</f>
        <v>62.333333333333336</v>
      </c>
      <c r="L31" s="164">
        <f>K31/$K$31</f>
        <v>1</v>
      </c>
    </row>
    <row r="32" spans="2:12" x14ac:dyDescent="0.25">
      <c r="B32" s="725"/>
      <c r="C32" s="728"/>
      <c r="D32" s="37" t="s">
        <v>14</v>
      </c>
      <c r="E32">
        <f>AVERAGE('Alamar Blue - Raw'!D14:F14)</f>
        <v>79</v>
      </c>
      <c r="F32" s="4">
        <f t="shared" si="6"/>
        <v>1.6690140845070423</v>
      </c>
      <c r="H32" s="628"/>
      <c r="I32" s="657"/>
      <c r="J32" s="239" t="s">
        <v>13</v>
      </c>
      <c r="K32">
        <f>AVERAGE('Alamar Blue - Raw'!S40:U40)</f>
        <v>112.33333333333333</v>
      </c>
      <c r="L32" s="4">
        <f>K32/$K$31</f>
        <v>1.802139037433155</v>
      </c>
    </row>
    <row r="33" spans="2:14" ht="15.75" thickBot="1" x14ac:dyDescent="0.3">
      <c r="B33" s="725"/>
      <c r="C33" s="728"/>
      <c r="D33" s="37" t="s">
        <v>15</v>
      </c>
      <c r="E33">
        <f>AVERAGE('Alamar Blue - Raw'!D15:F15)</f>
        <v>115.33333333333333</v>
      </c>
      <c r="F33" s="4">
        <f t="shared" si="6"/>
        <v>2.436619718309859</v>
      </c>
      <c r="H33" s="628"/>
      <c r="I33" s="681"/>
      <c r="J33" s="109" t="s">
        <v>14</v>
      </c>
      <c r="K33" s="3">
        <f>AVERAGE('Alamar Blue - Raw'!S41:U41)</f>
        <v>163</v>
      </c>
      <c r="L33" s="5">
        <f>K33/$K$31</f>
        <v>2.6149732620320854</v>
      </c>
    </row>
    <row r="34" spans="2:14" ht="16.5" thickTop="1" thickBot="1" x14ac:dyDescent="0.3">
      <c r="B34" s="725"/>
      <c r="C34" s="728"/>
      <c r="D34" s="37" t="s">
        <v>16</v>
      </c>
      <c r="E34">
        <f>AVERAGE('Alamar Blue - Raw'!D16:F16)</f>
        <v>74.333333333333329</v>
      </c>
      <c r="F34" s="4">
        <f t="shared" si="6"/>
        <v>1.5704225352112675</v>
      </c>
      <c r="H34" s="629"/>
      <c r="I34" s="684" t="s">
        <v>2</v>
      </c>
      <c r="J34" s="684"/>
      <c r="K34" s="6"/>
      <c r="L34" s="7">
        <f>AVERAGE(L27,L29,L30,L32,L33)</f>
        <v>2.2666626833567354</v>
      </c>
    </row>
    <row r="35" spans="2:14" x14ac:dyDescent="0.25">
      <c r="B35" s="725"/>
      <c r="C35" s="728"/>
      <c r="D35" s="37" t="s">
        <v>17</v>
      </c>
      <c r="E35">
        <f>AVERAGE('Alamar Blue - Raw'!D17:F17)</f>
        <v>96.333333333333329</v>
      </c>
      <c r="F35" s="4">
        <f t="shared" si="6"/>
        <v>2.0352112676056335</v>
      </c>
      <c r="H35" s="627" t="s">
        <v>12</v>
      </c>
      <c r="I35" s="635" t="s">
        <v>710</v>
      </c>
      <c r="J35" s="477" t="s">
        <v>21</v>
      </c>
      <c r="K35" s="8">
        <f>AVERAGE('Alamar Blue - Raw'!S48:U48)</f>
        <v>43.333333333333336</v>
      </c>
      <c r="L35" s="9">
        <f t="shared" ref="L35:L45" si="7">K35/$K$35</f>
        <v>1</v>
      </c>
    </row>
    <row r="36" spans="2:14" ht="15.75" thickBot="1" x14ac:dyDescent="0.3">
      <c r="B36" s="725"/>
      <c r="C36" s="728"/>
      <c r="D36" s="48" t="s">
        <v>18</v>
      </c>
      <c r="E36" s="3">
        <f>AVERAGE('Alamar Blue - Raw'!D18:F18)</f>
        <v>74.333333333333329</v>
      </c>
      <c r="F36" s="5">
        <f t="shared" si="6"/>
        <v>1.5704225352112675</v>
      </c>
      <c r="H36" s="628"/>
      <c r="I36" s="657"/>
      <c r="J36" s="239" t="s">
        <v>13</v>
      </c>
      <c r="K36">
        <f>AVERAGE('Alamar Blue - Raw'!S49:U49)</f>
        <v>83.571428571428584</v>
      </c>
      <c r="L36" s="4">
        <f t="shared" si="7"/>
        <v>1.9285714285714288</v>
      </c>
    </row>
    <row r="37" spans="2:14" ht="16.5" thickTop="1" thickBot="1" x14ac:dyDescent="0.3">
      <c r="B37" s="726"/>
      <c r="C37" s="729"/>
      <c r="D37" s="33" t="s">
        <v>2</v>
      </c>
      <c r="E37" s="6"/>
      <c r="F37" s="7">
        <f>AVERAGE(F31:F36)</f>
        <v>1.9166666666666667</v>
      </c>
      <c r="H37" s="628"/>
      <c r="I37" s="657"/>
      <c r="J37" s="239" t="s">
        <v>14</v>
      </c>
      <c r="K37">
        <f>AVERAGE('Alamar Blue - Raw'!S50:U50)</f>
        <v>83.571428571428569</v>
      </c>
      <c r="L37" s="4">
        <f t="shared" si="7"/>
        <v>1.9285714285714284</v>
      </c>
      <c r="N37">
        <f>AVERAGE(L36:L40)</f>
        <v>1.8731868131868132</v>
      </c>
    </row>
    <row r="38" spans="2:14" x14ac:dyDescent="0.25">
      <c r="B38" s="627" t="s">
        <v>37</v>
      </c>
      <c r="C38" s="722" t="s">
        <v>50</v>
      </c>
      <c r="D38" s="39" t="s">
        <v>21</v>
      </c>
      <c r="E38" s="8">
        <f>AVERAGE('Alamar Blue - Raw'!D30:F30)</f>
        <v>45</v>
      </c>
      <c r="F38" s="9">
        <f t="shared" ref="F38:F44" si="8">E38/$E$38</f>
        <v>1</v>
      </c>
      <c r="H38" s="628"/>
      <c r="I38" s="657"/>
      <c r="J38" s="239" t="s">
        <v>15</v>
      </c>
      <c r="K38">
        <f>AVERAGE('Alamar Blue - Raw'!S51:U51)</f>
        <v>71.571428571428569</v>
      </c>
      <c r="L38" s="4">
        <f t="shared" si="7"/>
        <v>1.6516483516483516</v>
      </c>
      <c r="N38">
        <f>AVERAGE(L41:L45)</f>
        <v>1.9760439560439562</v>
      </c>
    </row>
    <row r="39" spans="2:14" x14ac:dyDescent="0.25">
      <c r="B39" s="628"/>
      <c r="C39" s="693"/>
      <c r="D39" s="37" t="s">
        <v>13</v>
      </c>
      <c r="E39">
        <f>AVERAGE('Alamar Blue - Raw'!D31:F31)</f>
        <v>122.33333333333333</v>
      </c>
      <c r="F39" s="4">
        <f t="shared" si="8"/>
        <v>2.7185185185185183</v>
      </c>
      <c r="H39" s="628"/>
      <c r="I39" s="657"/>
      <c r="J39" s="239" t="s">
        <v>16</v>
      </c>
      <c r="K39">
        <f>AVERAGE('Alamar Blue - Raw'!S52:U52)</f>
        <v>82.285714285714292</v>
      </c>
      <c r="L39" s="4">
        <f t="shared" si="7"/>
        <v>1.898901098901099</v>
      </c>
    </row>
    <row r="40" spans="2:14" x14ac:dyDescent="0.25">
      <c r="B40" s="628"/>
      <c r="C40" s="693"/>
      <c r="D40" s="37" t="s">
        <v>14</v>
      </c>
      <c r="E40">
        <f>AVERAGE('Alamar Blue - Raw'!D32:F32)</f>
        <v>80.333333333333329</v>
      </c>
      <c r="F40" s="4">
        <f t="shared" si="8"/>
        <v>1.785185185185185</v>
      </c>
      <c r="H40" s="730"/>
      <c r="I40" s="657"/>
      <c r="J40" s="298" t="s">
        <v>17</v>
      </c>
      <c r="K40" s="162">
        <f>AVERAGE('Alamar Blue - Raw'!S53:U53)</f>
        <v>84.857142857142861</v>
      </c>
      <c r="L40" s="165">
        <f t="shared" si="7"/>
        <v>1.9582417582417582</v>
      </c>
    </row>
    <row r="41" spans="2:14" x14ac:dyDescent="0.25">
      <c r="B41" s="628"/>
      <c r="C41" s="693"/>
      <c r="D41" s="37" t="s">
        <v>15</v>
      </c>
      <c r="E41">
        <f>AVERAGE('Alamar Blue - Raw'!D33:F33)</f>
        <v>97.333333333333329</v>
      </c>
      <c r="F41" s="4">
        <f t="shared" si="8"/>
        <v>2.162962962962963</v>
      </c>
      <c r="H41" s="645" t="s">
        <v>37</v>
      </c>
      <c r="I41" s="657"/>
      <c r="J41" s="239" t="s">
        <v>18</v>
      </c>
      <c r="K41">
        <f>AVERAGE('Alamar Blue - Raw'!S54:U54)</f>
        <v>77.142857142857153</v>
      </c>
      <c r="L41" s="4">
        <f t="shared" si="7"/>
        <v>1.7802197802197803</v>
      </c>
    </row>
    <row r="42" spans="2:14" x14ac:dyDescent="0.25">
      <c r="B42" s="628"/>
      <c r="C42" s="693"/>
      <c r="D42" s="37" t="s">
        <v>16</v>
      </c>
      <c r="E42">
        <f>AVERAGE('Alamar Blue - Raw'!D34:F34)</f>
        <v>83.666666666666671</v>
      </c>
      <c r="F42" s="4">
        <f t="shared" si="8"/>
        <v>1.8592592592592594</v>
      </c>
      <c r="H42" s="645"/>
      <c r="I42" s="657"/>
      <c r="J42" s="239" t="s">
        <v>19</v>
      </c>
      <c r="K42">
        <f>AVERAGE('Alamar Blue - Raw'!S55:U55)</f>
        <v>96</v>
      </c>
      <c r="L42" s="4">
        <f t="shared" si="7"/>
        <v>2.2153846153846151</v>
      </c>
    </row>
    <row r="43" spans="2:14" x14ac:dyDescent="0.25">
      <c r="B43" s="628"/>
      <c r="C43" s="693"/>
      <c r="D43" s="37" t="s">
        <v>17</v>
      </c>
      <c r="E43">
        <f>AVERAGE('Alamar Blue - Raw'!D35:F35)</f>
        <v>89.333333333333329</v>
      </c>
      <c r="F43" s="4">
        <f t="shared" si="8"/>
        <v>1.9851851851851852</v>
      </c>
      <c r="H43" s="645"/>
      <c r="I43" s="657"/>
      <c r="J43" s="239" t="s">
        <v>20</v>
      </c>
      <c r="K43">
        <f>AVERAGE('Alamar Blue - Raw'!V49:X49)</f>
        <v>96.857142857142875</v>
      </c>
      <c r="L43" s="4">
        <f t="shared" si="7"/>
        <v>2.2351648351648357</v>
      </c>
    </row>
    <row r="44" spans="2:14" ht="15.75" thickBot="1" x14ac:dyDescent="0.3">
      <c r="B44" s="628"/>
      <c r="C44" s="693"/>
      <c r="D44" s="48" t="s">
        <v>18</v>
      </c>
      <c r="E44" s="3">
        <f>AVERAGE('Alamar Blue - Raw'!D36:F36)</f>
        <v>114</v>
      </c>
      <c r="F44" s="5">
        <f t="shared" si="8"/>
        <v>2.5333333333333332</v>
      </c>
      <c r="H44" s="645"/>
      <c r="I44" s="657"/>
      <c r="J44" s="239" t="s">
        <v>708</v>
      </c>
      <c r="K44">
        <f>AVERAGE('Alamar Blue - Raw'!V50:X50)</f>
        <v>84.857142857142861</v>
      </c>
      <c r="L44" s="4">
        <f t="shared" si="7"/>
        <v>1.9582417582417582</v>
      </c>
    </row>
    <row r="45" spans="2:14" ht="16.5" thickTop="1" thickBot="1" x14ac:dyDescent="0.3">
      <c r="B45" s="629"/>
      <c r="C45" s="723"/>
      <c r="D45" s="33" t="s">
        <v>2</v>
      </c>
      <c r="E45" s="6"/>
      <c r="F45" s="7">
        <f>AVERAGE(F39:F44)</f>
        <v>2.174074074074074</v>
      </c>
      <c r="H45" s="646"/>
      <c r="I45" s="636"/>
      <c r="J45" s="476" t="s">
        <v>709</v>
      </c>
      <c r="K45" s="6">
        <f>AVERAGE('Alamar Blue - Raw'!V51:X51)</f>
        <v>73.285714285714292</v>
      </c>
      <c r="L45" s="7">
        <f t="shared" si="7"/>
        <v>1.6912087912087912</v>
      </c>
    </row>
    <row r="46" spans="2:14" x14ac:dyDescent="0.25">
      <c r="B46" s="627" t="s">
        <v>12</v>
      </c>
      <c r="C46" s="638" t="s">
        <v>715</v>
      </c>
      <c r="D46" s="39" t="s">
        <v>21</v>
      </c>
      <c r="E46" s="8">
        <f>AVERAGE('Alamar Blue - Raw'!D57:F57)</f>
        <v>40</v>
      </c>
      <c r="F46" s="9">
        <f>E46/$E$46</f>
        <v>1</v>
      </c>
    </row>
    <row r="47" spans="2:14" x14ac:dyDescent="0.25">
      <c r="B47" s="628"/>
      <c r="C47" s="696"/>
      <c r="D47" s="37">
        <v>1</v>
      </c>
      <c r="E47">
        <f>AVERAGE('Alamar Blue - Raw'!D58:F58)</f>
        <v>84.666666666666671</v>
      </c>
      <c r="F47" s="4">
        <f t="shared" ref="F47:F52" si="9">E47/$E$46</f>
        <v>2.1166666666666667</v>
      </c>
    </row>
    <row r="48" spans="2:14" x14ac:dyDescent="0.25">
      <c r="B48" s="628"/>
      <c r="C48" s="696"/>
      <c r="D48" s="37">
        <v>2</v>
      </c>
      <c r="E48">
        <f>AVERAGE('Alamar Blue - Raw'!D59:F59)</f>
        <v>89.333333333333329</v>
      </c>
      <c r="F48" s="4">
        <f t="shared" si="9"/>
        <v>2.2333333333333334</v>
      </c>
    </row>
    <row r="49" spans="2:6" x14ac:dyDescent="0.25">
      <c r="B49" s="628"/>
      <c r="C49" s="696"/>
      <c r="D49" s="37">
        <v>3</v>
      </c>
      <c r="E49">
        <f>AVERAGE('Alamar Blue - Raw'!D60:F60)</f>
        <v>71.666666666666671</v>
      </c>
      <c r="F49" s="4">
        <f t="shared" si="9"/>
        <v>1.7916666666666667</v>
      </c>
    </row>
    <row r="50" spans="2:6" x14ac:dyDescent="0.25">
      <c r="B50" s="628"/>
      <c r="C50" s="696"/>
      <c r="D50" s="37">
        <v>4</v>
      </c>
      <c r="E50">
        <f>AVERAGE('Alamar Blue - Raw'!D61:F61)</f>
        <v>101</v>
      </c>
      <c r="F50" s="4">
        <f t="shared" si="9"/>
        <v>2.5249999999999999</v>
      </c>
    </row>
    <row r="51" spans="2:6" x14ac:dyDescent="0.25">
      <c r="B51" s="628"/>
      <c r="C51" s="696"/>
      <c r="D51" s="37">
        <v>5</v>
      </c>
      <c r="E51">
        <f>AVERAGE('Alamar Blue - Raw'!D62:F62)</f>
        <v>121.66666666666667</v>
      </c>
      <c r="F51" s="4">
        <f t="shared" si="9"/>
        <v>3.041666666666667</v>
      </c>
    </row>
    <row r="52" spans="2:6" x14ac:dyDescent="0.25">
      <c r="B52" s="628"/>
      <c r="C52" s="696"/>
      <c r="D52" s="37">
        <v>6</v>
      </c>
      <c r="E52">
        <f>AVERAGE('Alamar Blue - Raw'!D63:F63)</f>
        <v>95.666666666666671</v>
      </c>
      <c r="F52" s="4">
        <f t="shared" si="9"/>
        <v>2.3916666666666666</v>
      </c>
    </row>
    <row r="53" spans="2:6" x14ac:dyDescent="0.25">
      <c r="B53" s="628"/>
      <c r="C53" s="696"/>
      <c r="D53" s="37">
        <v>7</v>
      </c>
      <c r="F53" s="4"/>
    </row>
    <row r="54" spans="2:6" ht="15.75" thickBot="1" x14ac:dyDescent="0.3">
      <c r="B54" s="628"/>
      <c r="C54" s="696"/>
      <c r="D54" s="73">
        <v>8</v>
      </c>
      <c r="E54" s="3"/>
      <c r="F54" s="5"/>
    </row>
    <row r="55" spans="2:6" ht="16.5" thickTop="1" thickBot="1" x14ac:dyDescent="0.3">
      <c r="B55" s="629"/>
      <c r="C55" s="639"/>
      <c r="D55" s="6" t="s">
        <v>2</v>
      </c>
      <c r="E55" s="6"/>
      <c r="F55" s="7"/>
    </row>
    <row r="71" spans="10:10" x14ac:dyDescent="0.25">
      <c r="J71">
        <f>L27</f>
        <v>2.6256983240223462</v>
      </c>
    </row>
    <row r="72" spans="10:10" x14ac:dyDescent="0.25">
      <c r="J72">
        <f>L29</f>
        <v>1.8491620111731844</v>
      </c>
    </row>
    <row r="73" spans="10:10" x14ac:dyDescent="0.25">
      <c r="J73">
        <f>L30</f>
        <v>2.441340782122905</v>
      </c>
    </row>
    <row r="74" spans="10:10" x14ac:dyDescent="0.25">
      <c r="J74">
        <f>L32</f>
        <v>1.802139037433155</v>
      </c>
    </row>
    <row r="75" spans="10:10" x14ac:dyDescent="0.25">
      <c r="J75">
        <f>L33</f>
        <v>2.6149732620320854</v>
      </c>
    </row>
    <row r="76" spans="10:10" x14ac:dyDescent="0.25">
      <c r="J76">
        <f>L34</f>
        <v>2.2666626833567354</v>
      </c>
    </row>
  </sheetData>
  <mergeCells count="32">
    <mergeCell ref="H41:H45"/>
    <mergeCell ref="I35:I45"/>
    <mergeCell ref="C38:C45"/>
    <mergeCell ref="B38:B45"/>
    <mergeCell ref="B30:B37"/>
    <mergeCell ref="I26:I30"/>
    <mergeCell ref="I31:I33"/>
    <mergeCell ref="I34:J34"/>
    <mergeCell ref="C30:C37"/>
    <mergeCell ref="H35:H40"/>
    <mergeCell ref="C14:C21"/>
    <mergeCell ref="C22:C29"/>
    <mergeCell ref="I19:I25"/>
    <mergeCell ref="H19:H25"/>
    <mergeCell ref="H11:H18"/>
    <mergeCell ref="I11:I18"/>
    <mergeCell ref="C46:C55"/>
    <mergeCell ref="B46:B55"/>
    <mergeCell ref="B1:F1"/>
    <mergeCell ref="H1:L1"/>
    <mergeCell ref="R2:T2"/>
    <mergeCell ref="N2:N3"/>
    <mergeCell ref="O2:Q2"/>
    <mergeCell ref="I3:I10"/>
    <mergeCell ref="H3:H10"/>
    <mergeCell ref="B3:B13"/>
    <mergeCell ref="C3:C9"/>
    <mergeCell ref="C10:C12"/>
    <mergeCell ref="C13:D13"/>
    <mergeCell ref="B22:B29"/>
    <mergeCell ref="B14:B21"/>
    <mergeCell ref="H26:H34"/>
  </mergeCells>
  <conditionalFormatting sqref="O11:O13">
    <cfRule type="cellIs" dxfId="44" priority="2" operator="lessThan">
      <formula>0.05</formula>
    </cfRule>
  </conditionalFormatting>
  <conditionalFormatting sqref="R11:S14">
    <cfRule type="cellIs" dxfId="43" priority="1" operator="lessThan">
      <formula>0.05</formula>
    </cfRule>
  </conditionalFormatting>
  <hyperlinks>
    <hyperlink ref="A1" location="'Table of Contents'!A1" display="Table of Contents" xr:uid="{152950EA-7E62-4B2B-9BBD-41DE2F3547A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1C79-02C1-4BBC-B657-C6645704EAA1}">
  <dimension ref="A1:BW80"/>
  <sheetViews>
    <sheetView topLeftCell="AU30" zoomScaleNormal="100" workbookViewId="0">
      <selection activeCell="BK46" sqref="BK46:BM62"/>
    </sheetView>
  </sheetViews>
  <sheetFormatPr defaultRowHeight="15" x14ac:dyDescent="0.25"/>
  <cols>
    <col min="1" max="1" width="16.85546875" customWidth="1"/>
    <col min="2" max="2" width="12.5703125" customWidth="1"/>
    <col min="3" max="3" width="11" customWidth="1"/>
    <col min="4" max="4" width="9" customWidth="1"/>
    <col min="5" max="5" width="9.42578125" customWidth="1"/>
    <col min="6" max="6" width="8.85546875" customWidth="1"/>
    <col min="7" max="7" width="9.5703125" customWidth="1"/>
    <col min="8" max="8" width="9.7109375" customWidth="1"/>
    <col min="9" max="9" width="9.140625" customWidth="1"/>
    <col min="10" max="10" width="8.5703125" customWidth="1"/>
    <col min="11" max="11" width="10" customWidth="1"/>
    <col min="12" max="12" width="9.28515625" customWidth="1"/>
    <col min="13" max="13" width="9.5703125" customWidth="1"/>
    <col min="14" max="14" width="8.85546875" customWidth="1"/>
    <col min="15" max="15" width="9.42578125" customWidth="1"/>
    <col min="17" max="17" width="12.28515625" customWidth="1"/>
    <col min="18" max="18" width="10.7109375" customWidth="1"/>
    <col min="19" max="19" width="12.42578125" bestFit="1" customWidth="1"/>
    <col min="32" max="32" width="13" customWidth="1"/>
    <col min="33" max="33" width="12.42578125" customWidth="1"/>
    <col min="47" max="47" width="11.7109375" customWidth="1"/>
    <col min="48" max="49" width="10.5703125" customWidth="1"/>
    <col min="62" max="62" width="12.140625" customWidth="1"/>
    <col min="63" max="64" width="11" customWidth="1"/>
  </cols>
  <sheetData>
    <row r="1" spans="1:75" ht="15" customHeight="1" thickBot="1" x14ac:dyDescent="0.3">
      <c r="A1" s="1" t="s">
        <v>9</v>
      </c>
      <c r="B1" s="704" t="s">
        <v>86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6"/>
      <c r="Q1" s="704" t="s">
        <v>140</v>
      </c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6"/>
    </row>
    <row r="2" spans="1:75" x14ac:dyDescent="0.25">
      <c r="B2" s="689" t="s">
        <v>87</v>
      </c>
      <c r="C2" s="18"/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20">
        <v>12</v>
      </c>
      <c r="Q2" s="689" t="s">
        <v>87</v>
      </c>
      <c r="R2" s="231"/>
      <c r="S2" s="10">
        <v>1</v>
      </c>
      <c r="T2" s="10">
        <v>2</v>
      </c>
      <c r="U2" s="10">
        <v>3</v>
      </c>
      <c r="V2" s="10">
        <v>4</v>
      </c>
      <c r="W2" s="10">
        <v>5</v>
      </c>
      <c r="X2" s="10">
        <v>6</v>
      </c>
      <c r="Y2" s="10">
        <v>7</v>
      </c>
      <c r="Z2" s="10">
        <v>8</v>
      </c>
      <c r="AA2" s="10">
        <v>9</v>
      </c>
      <c r="AB2" s="10">
        <v>10</v>
      </c>
      <c r="AC2" s="10">
        <v>11</v>
      </c>
      <c r="AD2" s="10">
        <v>12</v>
      </c>
      <c r="AF2" s="689" t="s">
        <v>87</v>
      </c>
      <c r="AG2" s="18"/>
      <c r="AH2" s="19">
        <v>1</v>
      </c>
      <c r="AI2" s="19">
        <v>2</v>
      </c>
      <c r="AJ2" s="19">
        <v>3</v>
      </c>
      <c r="AK2" s="19">
        <v>4</v>
      </c>
      <c r="AL2" s="19">
        <v>5</v>
      </c>
      <c r="AM2" s="19">
        <v>6</v>
      </c>
      <c r="AN2" s="19">
        <v>7</v>
      </c>
      <c r="AO2" s="19">
        <v>8</v>
      </c>
      <c r="AP2" s="19">
        <v>9</v>
      </c>
      <c r="AQ2" s="19">
        <v>10</v>
      </c>
      <c r="AR2" s="19">
        <v>11</v>
      </c>
      <c r="AS2" s="20">
        <v>12</v>
      </c>
      <c r="AU2" s="689" t="s">
        <v>87</v>
      </c>
      <c r="AV2" s="18"/>
      <c r="AW2" s="19">
        <v>1</v>
      </c>
      <c r="AX2" s="19">
        <v>2</v>
      </c>
      <c r="AY2" s="19">
        <v>3</v>
      </c>
      <c r="AZ2" s="19">
        <v>4</v>
      </c>
      <c r="BA2" s="19">
        <v>5</v>
      </c>
      <c r="BB2" s="19">
        <v>6</v>
      </c>
      <c r="BC2" s="19">
        <v>7</v>
      </c>
      <c r="BD2" s="19">
        <v>8</v>
      </c>
      <c r="BE2" s="19">
        <v>9</v>
      </c>
      <c r="BF2" s="19">
        <v>10</v>
      </c>
      <c r="BG2" s="19">
        <v>11</v>
      </c>
      <c r="BH2" s="20">
        <v>12</v>
      </c>
      <c r="BJ2" s="689" t="s">
        <v>87</v>
      </c>
      <c r="BK2" s="406"/>
      <c r="BL2" s="10">
        <v>1</v>
      </c>
      <c r="BM2" s="10">
        <v>2</v>
      </c>
      <c r="BN2" s="10">
        <v>3</v>
      </c>
      <c r="BO2" s="10">
        <v>4</v>
      </c>
      <c r="BP2" s="10">
        <v>5</v>
      </c>
      <c r="BQ2" s="10">
        <v>6</v>
      </c>
      <c r="BR2" s="10">
        <v>7</v>
      </c>
      <c r="BS2" s="10">
        <v>8</v>
      </c>
      <c r="BT2" s="10">
        <v>9</v>
      </c>
      <c r="BU2" s="10">
        <v>10</v>
      </c>
      <c r="BV2" s="10">
        <v>11</v>
      </c>
      <c r="BW2" s="10">
        <v>12</v>
      </c>
    </row>
    <row r="3" spans="1:75" ht="30" customHeight="1" x14ac:dyDescent="0.25">
      <c r="B3" s="690"/>
      <c r="C3" s="10" t="s">
        <v>13</v>
      </c>
      <c r="D3" s="12">
        <v>4</v>
      </c>
      <c r="E3" s="12">
        <v>0</v>
      </c>
      <c r="F3" s="26">
        <v>54</v>
      </c>
      <c r="G3" s="28">
        <v>51</v>
      </c>
      <c r="H3" s="108">
        <v>32</v>
      </c>
      <c r="I3" s="29">
        <v>41</v>
      </c>
      <c r="J3" s="108">
        <v>27</v>
      </c>
      <c r="K3" s="107">
        <v>24</v>
      </c>
      <c r="L3" s="29">
        <v>36</v>
      </c>
      <c r="M3" s="108">
        <v>34</v>
      </c>
      <c r="N3" s="12">
        <v>1</v>
      </c>
      <c r="O3" s="21">
        <v>3</v>
      </c>
      <c r="Q3" s="690"/>
      <c r="R3" s="125" t="s">
        <v>13</v>
      </c>
      <c r="S3" s="12">
        <v>4</v>
      </c>
      <c r="T3" s="12">
        <v>3</v>
      </c>
      <c r="U3" s="15">
        <v>106</v>
      </c>
      <c r="V3" s="15">
        <v>108</v>
      </c>
      <c r="W3" s="14">
        <v>98</v>
      </c>
      <c r="X3" s="14">
        <v>95</v>
      </c>
      <c r="Y3" s="26">
        <v>84</v>
      </c>
      <c r="Z3" s="28">
        <v>77</v>
      </c>
      <c r="AA3" s="26">
        <v>86</v>
      </c>
      <c r="AB3" s="26">
        <v>91</v>
      </c>
      <c r="AC3" s="14">
        <v>99</v>
      </c>
      <c r="AD3" s="26">
        <v>91</v>
      </c>
      <c r="AF3" s="690"/>
      <c r="AG3" s="10" t="s">
        <v>13</v>
      </c>
      <c r="AH3" s="12">
        <v>1</v>
      </c>
      <c r="AI3" s="12">
        <v>6</v>
      </c>
      <c r="AJ3" s="107">
        <v>43</v>
      </c>
      <c r="AK3" s="13">
        <v>32</v>
      </c>
      <c r="AL3" s="13">
        <v>30</v>
      </c>
      <c r="AM3" s="107">
        <v>39</v>
      </c>
      <c r="AN3" s="107">
        <v>44</v>
      </c>
      <c r="AO3" s="107">
        <v>35</v>
      </c>
      <c r="AP3" s="107">
        <v>33</v>
      </c>
      <c r="AQ3" s="107">
        <v>35</v>
      </c>
      <c r="AR3" s="108">
        <v>51</v>
      </c>
      <c r="AS3" s="30">
        <v>27</v>
      </c>
      <c r="AU3" s="690"/>
      <c r="AV3" s="10" t="s">
        <v>13</v>
      </c>
      <c r="AW3" s="12">
        <v>2</v>
      </c>
      <c r="AX3" s="12">
        <v>3</v>
      </c>
      <c r="AY3" s="108">
        <v>33</v>
      </c>
      <c r="AZ3" s="107">
        <v>32</v>
      </c>
      <c r="BA3" s="107">
        <v>25</v>
      </c>
      <c r="BB3" s="107">
        <v>22</v>
      </c>
      <c r="BC3" s="107">
        <v>28</v>
      </c>
      <c r="BD3" s="107">
        <v>25</v>
      </c>
      <c r="BE3" s="12">
        <v>2</v>
      </c>
      <c r="BF3" s="12">
        <v>3</v>
      </c>
      <c r="BG3" s="12">
        <v>3</v>
      </c>
      <c r="BH3" s="21">
        <v>5</v>
      </c>
      <c r="BJ3" s="690"/>
      <c r="BK3" s="10" t="s">
        <v>13</v>
      </c>
      <c r="BL3" s="12">
        <v>1</v>
      </c>
      <c r="BM3" s="12">
        <v>0</v>
      </c>
      <c r="BN3" s="13">
        <v>28</v>
      </c>
      <c r="BO3" s="13">
        <v>33</v>
      </c>
      <c r="BP3" s="13">
        <v>31</v>
      </c>
      <c r="BQ3" s="13">
        <v>33</v>
      </c>
      <c r="BR3" s="108">
        <v>53</v>
      </c>
      <c r="BS3" s="108">
        <v>53</v>
      </c>
      <c r="BT3" s="108">
        <v>55</v>
      </c>
      <c r="BU3" s="108">
        <v>55</v>
      </c>
      <c r="BV3" s="12">
        <v>4</v>
      </c>
      <c r="BW3" s="12">
        <v>1</v>
      </c>
    </row>
    <row r="4" spans="1:75" x14ac:dyDescent="0.25">
      <c r="B4" s="690"/>
      <c r="C4" s="10" t="s">
        <v>14</v>
      </c>
      <c r="D4" s="13">
        <v>17</v>
      </c>
      <c r="E4" s="13">
        <v>12</v>
      </c>
      <c r="F4" s="108">
        <v>28</v>
      </c>
      <c r="G4" s="108">
        <v>26</v>
      </c>
      <c r="H4" s="29">
        <v>38</v>
      </c>
      <c r="I4" s="29">
        <v>40</v>
      </c>
      <c r="J4" s="108">
        <v>31</v>
      </c>
      <c r="K4" s="29">
        <v>36</v>
      </c>
      <c r="L4" s="12">
        <v>0</v>
      </c>
      <c r="M4" s="12">
        <v>4</v>
      </c>
      <c r="N4" s="12">
        <v>1</v>
      </c>
      <c r="O4" s="21">
        <v>4</v>
      </c>
      <c r="Q4" s="690"/>
      <c r="R4" s="125" t="s">
        <v>14</v>
      </c>
      <c r="S4" s="107">
        <v>27</v>
      </c>
      <c r="T4" s="13">
        <v>23</v>
      </c>
      <c r="U4" s="14">
        <v>99</v>
      </c>
      <c r="V4" s="26">
        <v>83</v>
      </c>
      <c r="W4" s="29">
        <v>63</v>
      </c>
      <c r="X4" s="29">
        <v>65</v>
      </c>
      <c r="Y4" s="108">
        <v>47</v>
      </c>
      <c r="Z4" s="108">
        <v>44</v>
      </c>
      <c r="AA4" s="108">
        <v>50</v>
      </c>
      <c r="AB4" s="108">
        <v>43</v>
      </c>
      <c r="AC4" s="108">
        <v>48</v>
      </c>
      <c r="AD4" s="108">
        <v>46</v>
      </c>
      <c r="AF4" s="690"/>
      <c r="AG4" s="10" t="s">
        <v>14</v>
      </c>
      <c r="AH4" s="107">
        <v>24</v>
      </c>
      <c r="AI4" s="107">
        <v>18</v>
      </c>
      <c r="AJ4" s="108">
        <v>51</v>
      </c>
      <c r="AK4" s="107">
        <v>39</v>
      </c>
      <c r="AL4" s="13">
        <v>28</v>
      </c>
      <c r="AM4" s="107">
        <v>33</v>
      </c>
      <c r="AN4" s="107">
        <v>36</v>
      </c>
      <c r="AO4" s="107">
        <v>35</v>
      </c>
      <c r="AP4" s="13">
        <v>23</v>
      </c>
      <c r="AQ4" s="13">
        <v>29</v>
      </c>
      <c r="AR4" s="107">
        <v>48</v>
      </c>
      <c r="AS4" s="30">
        <v>26</v>
      </c>
      <c r="AU4" s="690"/>
      <c r="AV4" s="10" t="s">
        <v>14</v>
      </c>
      <c r="AW4" s="108">
        <v>34</v>
      </c>
      <c r="AX4" s="107">
        <v>28</v>
      </c>
      <c r="AY4" s="29">
        <v>47</v>
      </c>
      <c r="AZ4" s="29">
        <v>54</v>
      </c>
      <c r="BA4" s="107">
        <v>26</v>
      </c>
      <c r="BB4" s="107">
        <v>26</v>
      </c>
      <c r="BC4" s="107">
        <v>22</v>
      </c>
      <c r="BD4" s="107">
        <v>26</v>
      </c>
      <c r="BE4" s="12">
        <v>2</v>
      </c>
      <c r="BF4" s="12">
        <v>2</v>
      </c>
      <c r="BG4" s="12">
        <v>0</v>
      </c>
      <c r="BH4" s="21">
        <v>1</v>
      </c>
      <c r="BJ4" s="690"/>
      <c r="BK4" s="10" t="s">
        <v>14</v>
      </c>
      <c r="BL4" s="13">
        <v>22</v>
      </c>
      <c r="BM4" s="13">
        <v>30</v>
      </c>
      <c r="BN4" s="107">
        <v>37</v>
      </c>
      <c r="BO4" s="107">
        <v>35</v>
      </c>
      <c r="BP4" s="107">
        <v>43</v>
      </c>
      <c r="BQ4" s="107">
        <v>41</v>
      </c>
      <c r="BR4" s="108">
        <v>55</v>
      </c>
      <c r="BS4" s="108">
        <v>56</v>
      </c>
      <c r="BT4" s="108">
        <v>54</v>
      </c>
      <c r="BU4" s="108">
        <v>56</v>
      </c>
      <c r="BV4" s="12">
        <v>2</v>
      </c>
      <c r="BW4" s="12">
        <v>7</v>
      </c>
    </row>
    <row r="5" spans="1:75" x14ac:dyDescent="0.25">
      <c r="B5" s="690"/>
      <c r="C5" s="10" t="s">
        <v>15</v>
      </c>
      <c r="D5" s="108">
        <v>28</v>
      </c>
      <c r="E5" s="108">
        <v>31</v>
      </c>
      <c r="F5" s="107">
        <v>22</v>
      </c>
      <c r="G5" s="13">
        <v>15</v>
      </c>
      <c r="H5" s="26">
        <v>53</v>
      </c>
      <c r="I5" s="28">
        <v>51</v>
      </c>
      <c r="J5" s="108">
        <v>28</v>
      </c>
      <c r="K5" s="29">
        <v>36</v>
      </c>
      <c r="L5" s="12">
        <v>1</v>
      </c>
      <c r="M5" s="12">
        <v>3</v>
      </c>
      <c r="N5" s="12">
        <v>4</v>
      </c>
      <c r="O5" s="21">
        <v>0</v>
      </c>
      <c r="Q5" s="690"/>
      <c r="R5" s="125" t="s">
        <v>15</v>
      </c>
      <c r="S5" s="107">
        <v>35</v>
      </c>
      <c r="T5" s="108">
        <v>46</v>
      </c>
      <c r="U5" s="26">
        <v>82</v>
      </c>
      <c r="V5" s="26">
        <v>80</v>
      </c>
      <c r="W5" s="108">
        <v>47</v>
      </c>
      <c r="X5" s="108">
        <v>48</v>
      </c>
      <c r="Y5" s="107">
        <v>32</v>
      </c>
      <c r="Z5" s="107">
        <v>34</v>
      </c>
      <c r="AA5" s="108">
        <v>46</v>
      </c>
      <c r="AB5" s="108">
        <v>49</v>
      </c>
      <c r="AC5" s="107">
        <v>31</v>
      </c>
      <c r="AD5" s="13">
        <v>26</v>
      </c>
      <c r="AF5" s="690"/>
      <c r="AG5" s="10" t="s">
        <v>15</v>
      </c>
      <c r="AH5" s="108">
        <v>46</v>
      </c>
      <c r="AI5" s="107">
        <v>45</v>
      </c>
      <c r="AJ5" s="107">
        <v>47</v>
      </c>
      <c r="AK5" s="108">
        <v>53</v>
      </c>
      <c r="AL5" s="108">
        <v>56</v>
      </c>
      <c r="AM5" s="107">
        <v>48</v>
      </c>
      <c r="AN5" s="108">
        <v>49</v>
      </c>
      <c r="AO5" s="12">
        <v>5</v>
      </c>
      <c r="AP5" s="12">
        <v>0</v>
      </c>
      <c r="AQ5" s="12">
        <v>3</v>
      </c>
      <c r="AR5" s="12">
        <v>1</v>
      </c>
      <c r="AS5" s="21">
        <v>4</v>
      </c>
      <c r="AU5" s="690"/>
      <c r="AV5" s="10" t="s">
        <v>15</v>
      </c>
      <c r="AW5" s="26">
        <v>70</v>
      </c>
      <c r="AX5" s="28">
        <v>65</v>
      </c>
      <c r="AY5" s="107">
        <v>27</v>
      </c>
      <c r="AZ5" s="107">
        <v>26</v>
      </c>
      <c r="BA5" s="107">
        <v>28</v>
      </c>
      <c r="BB5" s="107">
        <v>25</v>
      </c>
      <c r="BC5" s="13">
        <v>12</v>
      </c>
      <c r="BD5" s="12">
        <v>10</v>
      </c>
      <c r="BE5" s="12">
        <v>4</v>
      </c>
      <c r="BF5" s="12">
        <v>0</v>
      </c>
      <c r="BG5" s="12">
        <v>2</v>
      </c>
      <c r="BH5" s="21">
        <v>3</v>
      </c>
      <c r="BJ5" s="690"/>
      <c r="BK5" s="10" t="s">
        <v>15</v>
      </c>
      <c r="BL5" s="108">
        <v>53</v>
      </c>
      <c r="BM5" s="107">
        <v>50</v>
      </c>
      <c r="BN5" s="13">
        <v>32</v>
      </c>
      <c r="BO5" s="13">
        <v>30</v>
      </c>
      <c r="BP5" s="107">
        <v>45</v>
      </c>
      <c r="BQ5" s="107">
        <v>42</v>
      </c>
      <c r="BR5" s="108">
        <v>51</v>
      </c>
      <c r="BS5" s="107">
        <v>44</v>
      </c>
      <c r="BT5" s="108">
        <v>60</v>
      </c>
      <c r="BU5" s="108">
        <v>54</v>
      </c>
      <c r="BV5" s="12">
        <v>0</v>
      </c>
      <c r="BW5" s="12">
        <v>0</v>
      </c>
    </row>
    <row r="6" spans="1:75" x14ac:dyDescent="0.25">
      <c r="B6" s="690"/>
      <c r="C6" s="10" t="s">
        <v>16</v>
      </c>
      <c r="D6" s="28">
        <v>45</v>
      </c>
      <c r="E6" s="29">
        <v>42</v>
      </c>
      <c r="F6" s="107">
        <v>23</v>
      </c>
      <c r="G6" s="107">
        <v>24</v>
      </c>
      <c r="H6" s="29">
        <v>39</v>
      </c>
      <c r="I6" s="29">
        <v>40</v>
      </c>
      <c r="J6" s="108">
        <v>28</v>
      </c>
      <c r="K6" s="29">
        <v>35</v>
      </c>
      <c r="L6" s="12">
        <v>0</v>
      </c>
      <c r="M6" s="12">
        <v>0</v>
      </c>
      <c r="N6" s="12">
        <v>0</v>
      </c>
      <c r="O6" s="21">
        <v>1</v>
      </c>
      <c r="Q6" s="690"/>
      <c r="R6" s="125" t="s">
        <v>16</v>
      </c>
      <c r="S6" s="26">
        <v>82</v>
      </c>
      <c r="T6" s="14">
        <v>90</v>
      </c>
      <c r="U6" s="107">
        <v>32</v>
      </c>
      <c r="V6" s="107">
        <v>34</v>
      </c>
      <c r="W6" s="28">
        <v>68</v>
      </c>
      <c r="X6" s="28">
        <v>66</v>
      </c>
      <c r="Y6" s="28">
        <v>73</v>
      </c>
      <c r="Z6" s="28">
        <v>73</v>
      </c>
      <c r="AA6" s="29">
        <v>53</v>
      </c>
      <c r="AB6" s="108">
        <v>52</v>
      </c>
      <c r="AC6" s="29">
        <v>62</v>
      </c>
      <c r="AD6" s="28">
        <v>67</v>
      </c>
      <c r="AF6" s="690"/>
      <c r="AG6" s="10" t="s">
        <v>16</v>
      </c>
      <c r="AH6" s="26">
        <v>97</v>
      </c>
      <c r="AI6" s="28">
        <v>87</v>
      </c>
      <c r="AJ6" s="108">
        <v>49</v>
      </c>
      <c r="AK6" s="108">
        <v>51</v>
      </c>
      <c r="AL6" s="108">
        <v>55</v>
      </c>
      <c r="AM6" s="107">
        <v>45</v>
      </c>
      <c r="AN6" s="107">
        <v>47</v>
      </c>
      <c r="AO6" s="12">
        <v>3</v>
      </c>
      <c r="AP6" s="12">
        <v>0</v>
      </c>
      <c r="AQ6" s="12">
        <v>7</v>
      </c>
      <c r="AR6" s="12">
        <v>8</v>
      </c>
      <c r="AS6" s="21">
        <v>2</v>
      </c>
      <c r="AU6" s="690"/>
      <c r="AV6" s="10" t="s">
        <v>16</v>
      </c>
      <c r="AW6" s="31">
        <v>129</v>
      </c>
      <c r="AX6" s="31">
        <v>130</v>
      </c>
      <c r="AY6" s="29">
        <v>45</v>
      </c>
      <c r="AZ6" s="29">
        <v>46</v>
      </c>
      <c r="BA6" s="13">
        <v>21</v>
      </c>
      <c r="BB6" s="107">
        <v>22</v>
      </c>
      <c r="BC6" s="13">
        <v>12</v>
      </c>
      <c r="BD6" s="13">
        <v>15</v>
      </c>
      <c r="BE6" s="12">
        <v>0</v>
      </c>
      <c r="BF6" s="12">
        <v>5</v>
      </c>
      <c r="BG6" s="12">
        <v>4</v>
      </c>
      <c r="BH6" s="21">
        <v>1</v>
      </c>
      <c r="BJ6" s="690"/>
      <c r="BK6" s="10" t="s">
        <v>16</v>
      </c>
      <c r="BL6" s="28">
        <v>100</v>
      </c>
      <c r="BM6" s="28">
        <v>91</v>
      </c>
      <c r="BN6" s="107">
        <v>35</v>
      </c>
      <c r="BO6" s="107">
        <v>40</v>
      </c>
      <c r="BP6" s="107">
        <v>39</v>
      </c>
      <c r="BQ6" s="107">
        <v>36</v>
      </c>
      <c r="BR6" s="108">
        <v>54</v>
      </c>
      <c r="BS6" s="108">
        <v>58</v>
      </c>
      <c r="BT6" s="29">
        <v>73</v>
      </c>
      <c r="BU6" s="108">
        <v>67</v>
      </c>
      <c r="BV6" s="12">
        <v>1</v>
      </c>
      <c r="BW6" s="12">
        <v>5</v>
      </c>
    </row>
    <row r="7" spans="1:75" x14ac:dyDescent="0.25">
      <c r="B7" s="690"/>
      <c r="C7" s="10" t="s">
        <v>17</v>
      </c>
      <c r="D7" s="15">
        <v>74</v>
      </c>
      <c r="E7" s="15">
        <v>74</v>
      </c>
      <c r="F7" s="13">
        <v>13</v>
      </c>
      <c r="G7" s="13">
        <v>14</v>
      </c>
      <c r="H7" s="29">
        <v>36</v>
      </c>
      <c r="I7" s="29">
        <v>36</v>
      </c>
      <c r="J7" s="13">
        <v>13</v>
      </c>
      <c r="K7" s="108">
        <v>28</v>
      </c>
      <c r="L7" s="12">
        <v>2</v>
      </c>
      <c r="M7" s="12">
        <v>4</v>
      </c>
      <c r="N7" s="12">
        <v>2</v>
      </c>
      <c r="O7" s="21">
        <v>3</v>
      </c>
      <c r="Q7" s="690"/>
      <c r="R7" s="125" t="s">
        <v>17</v>
      </c>
      <c r="S7" s="27">
        <v>159</v>
      </c>
      <c r="T7" s="31">
        <v>157</v>
      </c>
      <c r="U7" s="29">
        <v>57</v>
      </c>
      <c r="V7" s="29">
        <v>53</v>
      </c>
      <c r="W7" s="29">
        <v>54</v>
      </c>
      <c r="X7" s="29">
        <v>59</v>
      </c>
      <c r="Y7" s="29">
        <v>57</v>
      </c>
      <c r="Z7" s="29">
        <v>60</v>
      </c>
      <c r="AA7" s="29">
        <v>61</v>
      </c>
      <c r="AB7" s="29">
        <v>60</v>
      </c>
      <c r="AC7" s="29">
        <v>63</v>
      </c>
      <c r="AD7" s="29">
        <v>63</v>
      </c>
      <c r="AF7" s="690"/>
      <c r="AG7" s="10" t="s">
        <v>17</v>
      </c>
      <c r="AH7" s="11">
        <v>176</v>
      </c>
      <c r="AI7" s="11">
        <v>169</v>
      </c>
      <c r="AJ7" s="13">
        <v>28</v>
      </c>
      <c r="AK7" s="13">
        <v>28</v>
      </c>
      <c r="AL7" s="13">
        <v>29</v>
      </c>
      <c r="AM7" s="107">
        <v>37</v>
      </c>
      <c r="AN7" s="107">
        <v>37</v>
      </c>
      <c r="AO7" s="107">
        <v>34</v>
      </c>
      <c r="AP7" s="13">
        <v>27</v>
      </c>
      <c r="AQ7" s="12">
        <v>5</v>
      </c>
      <c r="AR7" s="12">
        <v>2</v>
      </c>
      <c r="AS7" s="21">
        <v>1</v>
      </c>
      <c r="AU7" s="690"/>
      <c r="AV7" s="10" t="s">
        <v>17</v>
      </c>
      <c r="AW7" s="17">
        <v>153</v>
      </c>
      <c r="AX7" s="27">
        <v>136</v>
      </c>
      <c r="AY7" s="108">
        <v>40</v>
      </c>
      <c r="AZ7" s="108">
        <v>39</v>
      </c>
      <c r="BA7" s="107">
        <v>26</v>
      </c>
      <c r="BB7" s="107">
        <v>22</v>
      </c>
      <c r="BC7" s="12">
        <v>0</v>
      </c>
      <c r="BD7" s="12">
        <v>0</v>
      </c>
      <c r="BE7" s="12">
        <v>2</v>
      </c>
      <c r="BF7" s="12">
        <v>3</v>
      </c>
      <c r="BG7" s="12">
        <v>1</v>
      </c>
      <c r="BH7" s="21">
        <v>2</v>
      </c>
      <c r="BJ7" s="690"/>
      <c r="BK7" s="10" t="s">
        <v>17</v>
      </c>
      <c r="BL7" s="31">
        <v>188</v>
      </c>
      <c r="BM7" s="31">
        <v>185</v>
      </c>
      <c r="BN7" s="12">
        <v>4</v>
      </c>
      <c r="BO7" s="12">
        <v>4</v>
      </c>
      <c r="BP7" s="107">
        <v>38</v>
      </c>
      <c r="BQ7" s="107">
        <v>36</v>
      </c>
      <c r="BR7" s="12">
        <v>0</v>
      </c>
      <c r="BS7" s="12">
        <v>4</v>
      </c>
      <c r="BT7" s="12">
        <v>2</v>
      </c>
      <c r="BU7" s="12">
        <v>3</v>
      </c>
      <c r="BV7" s="12">
        <v>1</v>
      </c>
      <c r="BW7" s="12">
        <v>4</v>
      </c>
    </row>
    <row r="8" spans="1:75" x14ac:dyDescent="0.25">
      <c r="B8" s="690"/>
      <c r="C8" s="10" t="s">
        <v>18</v>
      </c>
      <c r="D8" s="17">
        <v>119</v>
      </c>
      <c r="E8" s="17">
        <v>118</v>
      </c>
      <c r="F8" s="13">
        <v>15</v>
      </c>
      <c r="G8" s="13">
        <v>16</v>
      </c>
      <c r="H8" s="29">
        <v>38</v>
      </c>
      <c r="I8" s="29">
        <v>38</v>
      </c>
      <c r="J8" s="107">
        <v>24</v>
      </c>
      <c r="K8" s="107">
        <v>25</v>
      </c>
      <c r="L8" s="12">
        <v>3</v>
      </c>
      <c r="M8" s="12">
        <v>0</v>
      </c>
      <c r="N8" s="12">
        <v>0</v>
      </c>
      <c r="O8" s="21">
        <v>3</v>
      </c>
      <c r="Q8" s="690"/>
      <c r="R8" s="125" t="s">
        <v>18</v>
      </c>
      <c r="S8" s="17">
        <v>172</v>
      </c>
      <c r="T8" s="17">
        <v>184</v>
      </c>
      <c r="U8" s="26">
        <v>82</v>
      </c>
      <c r="V8" s="28">
        <v>74</v>
      </c>
      <c r="W8" s="14">
        <v>99</v>
      </c>
      <c r="X8" s="14">
        <v>97</v>
      </c>
      <c r="Y8" s="26">
        <v>87</v>
      </c>
      <c r="Z8" s="26">
        <v>83</v>
      </c>
      <c r="AA8" s="15">
        <v>112</v>
      </c>
      <c r="AB8" s="15">
        <v>112</v>
      </c>
      <c r="AC8" s="28">
        <v>77</v>
      </c>
      <c r="AD8" s="28">
        <v>78</v>
      </c>
      <c r="AF8" s="690"/>
      <c r="AG8" s="10" t="s">
        <v>18</v>
      </c>
      <c r="AH8" s="11">
        <v>171</v>
      </c>
      <c r="AI8" s="17">
        <v>225</v>
      </c>
      <c r="AJ8" s="12">
        <v>16</v>
      </c>
      <c r="AK8" s="13">
        <v>27</v>
      </c>
      <c r="AL8" s="107">
        <v>34</v>
      </c>
      <c r="AM8" s="107">
        <v>42</v>
      </c>
      <c r="AN8" s="107">
        <v>37</v>
      </c>
      <c r="AO8" s="13">
        <v>28</v>
      </c>
      <c r="AP8" s="13">
        <v>19</v>
      </c>
      <c r="AQ8" s="12">
        <v>0</v>
      </c>
      <c r="AR8" s="12">
        <v>5</v>
      </c>
      <c r="AS8" s="21">
        <v>0</v>
      </c>
      <c r="AU8" s="690"/>
      <c r="AV8" s="10" t="s">
        <v>18</v>
      </c>
      <c r="AW8" s="27">
        <v>136</v>
      </c>
      <c r="AX8" s="11">
        <v>118</v>
      </c>
      <c r="AY8" s="12">
        <v>4</v>
      </c>
      <c r="AZ8" s="12">
        <v>0</v>
      </c>
      <c r="BA8" s="12">
        <v>0</v>
      </c>
      <c r="BB8" s="12">
        <v>6</v>
      </c>
      <c r="BC8" s="12">
        <v>2</v>
      </c>
      <c r="BD8" s="12">
        <v>0</v>
      </c>
      <c r="BE8" s="12">
        <v>6</v>
      </c>
      <c r="BF8" s="12">
        <v>5</v>
      </c>
      <c r="BG8" s="12">
        <v>0</v>
      </c>
      <c r="BH8" s="21">
        <v>4</v>
      </c>
      <c r="BJ8" s="690"/>
      <c r="BK8" s="10" t="s">
        <v>18</v>
      </c>
      <c r="BL8" s="17">
        <v>235</v>
      </c>
      <c r="BM8" s="17">
        <v>233</v>
      </c>
      <c r="BN8" s="12">
        <v>0</v>
      </c>
      <c r="BO8" s="12">
        <v>2</v>
      </c>
      <c r="BP8" s="12">
        <v>0</v>
      </c>
      <c r="BQ8" s="12">
        <v>2</v>
      </c>
      <c r="BR8" s="12">
        <v>0</v>
      </c>
      <c r="BS8" s="12">
        <v>4</v>
      </c>
      <c r="BT8" s="12">
        <v>3</v>
      </c>
      <c r="BU8" s="12">
        <v>2</v>
      </c>
      <c r="BV8" s="12">
        <v>3</v>
      </c>
      <c r="BW8" s="12">
        <v>6</v>
      </c>
    </row>
    <row r="9" spans="1:75" x14ac:dyDescent="0.25">
      <c r="B9" s="690"/>
      <c r="C9" s="10" t="s">
        <v>19</v>
      </c>
      <c r="D9" s="108">
        <v>32</v>
      </c>
      <c r="E9" s="29">
        <v>41</v>
      </c>
      <c r="F9" s="13">
        <v>11</v>
      </c>
      <c r="G9" s="13">
        <v>17</v>
      </c>
      <c r="H9" s="108">
        <v>32</v>
      </c>
      <c r="I9" s="29">
        <v>35</v>
      </c>
      <c r="J9" s="108">
        <v>27</v>
      </c>
      <c r="K9" s="107">
        <v>24</v>
      </c>
      <c r="L9" s="12">
        <v>0</v>
      </c>
      <c r="M9" s="12">
        <v>1</v>
      </c>
      <c r="N9" s="12">
        <v>2</v>
      </c>
      <c r="O9" s="21">
        <v>2</v>
      </c>
      <c r="Q9" s="690"/>
      <c r="R9" s="125" t="s">
        <v>19</v>
      </c>
      <c r="S9" s="12">
        <v>3</v>
      </c>
      <c r="T9" s="12">
        <v>2</v>
      </c>
      <c r="U9" s="14">
        <v>98</v>
      </c>
      <c r="V9" s="14">
        <v>103</v>
      </c>
      <c r="W9" s="26">
        <v>85</v>
      </c>
      <c r="X9" s="26">
        <v>87</v>
      </c>
      <c r="Y9" s="15">
        <v>110</v>
      </c>
      <c r="Z9" s="14">
        <v>104</v>
      </c>
      <c r="AA9" s="26">
        <v>88</v>
      </c>
      <c r="AB9" s="26">
        <v>86</v>
      </c>
      <c r="AC9" s="26">
        <v>85</v>
      </c>
      <c r="AD9" s="26">
        <v>87</v>
      </c>
      <c r="AF9" s="690"/>
      <c r="AG9" s="10" t="s">
        <v>19</v>
      </c>
      <c r="AH9" s="12">
        <v>1</v>
      </c>
      <c r="AI9" s="12">
        <v>4</v>
      </c>
      <c r="AJ9" s="108">
        <v>52</v>
      </c>
      <c r="AK9" s="13">
        <v>31</v>
      </c>
      <c r="AL9" s="12">
        <v>26</v>
      </c>
      <c r="AM9" s="107">
        <v>41</v>
      </c>
      <c r="AN9" s="107">
        <v>36</v>
      </c>
      <c r="AO9" s="107">
        <v>39</v>
      </c>
      <c r="AP9" s="107">
        <v>36</v>
      </c>
      <c r="AQ9" s="107">
        <v>41</v>
      </c>
      <c r="AR9" s="13">
        <v>26</v>
      </c>
      <c r="AS9" s="21">
        <v>0</v>
      </c>
      <c r="AU9" s="690"/>
      <c r="AV9" s="10" t="s">
        <v>19</v>
      </c>
      <c r="AW9" s="29">
        <v>61</v>
      </c>
      <c r="AX9" s="29">
        <v>55</v>
      </c>
      <c r="AY9" s="12">
        <v>2</v>
      </c>
      <c r="AZ9" s="12">
        <v>0</v>
      </c>
      <c r="BA9" s="12">
        <v>0</v>
      </c>
      <c r="BB9" s="12">
        <v>0</v>
      </c>
      <c r="BC9" s="12">
        <v>5</v>
      </c>
      <c r="BD9" s="12">
        <v>0</v>
      </c>
      <c r="BE9" s="12">
        <v>0</v>
      </c>
      <c r="BF9" s="12">
        <v>0</v>
      </c>
      <c r="BG9" s="12">
        <v>1</v>
      </c>
      <c r="BH9" s="21">
        <v>1</v>
      </c>
      <c r="BJ9" s="690"/>
      <c r="BK9" s="10" t="s">
        <v>19</v>
      </c>
      <c r="BL9" s="12">
        <v>4</v>
      </c>
      <c r="BM9" s="12">
        <v>0</v>
      </c>
      <c r="BN9" s="12">
        <v>3</v>
      </c>
      <c r="BO9" s="12">
        <v>3</v>
      </c>
      <c r="BP9" s="12">
        <v>2</v>
      </c>
      <c r="BQ9" s="12">
        <v>5</v>
      </c>
      <c r="BR9" s="12">
        <v>3</v>
      </c>
      <c r="BS9" s="12">
        <v>3</v>
      </c>
      <c r="BT9" s="12">
        <v>4</v>
      </c>
      <c r="BU9" s="12">
        <v>3</v>
      </c>
      <c r="BV9" s="12">
        <v>4</v>
      </c>
      <c r="BW9" s="12">
        <v>1</v>
      </c>
    </row>
    <row r="10" spans="1:75" ht="15.75" thickBot="1" x14ac:dyDescent="0.3">
      <c r="B10" s="691"/>
      <c r="C10" s="22" t="s">
        <v>20</v>
      </c>
      <c r="D10" s="118">
        <v>37</v>
      </c>
      <c r="E10" s="118">
        <v>38</v>
      </c>
      <c r="F10" s="119">
        <v>32</v>
      </c>
      <c r="G10" s="119">
        <v>33</v>
      </c>
      <c r="H10" s="119">
        <v>33</v>
      </c>
      <c r="I10" s="119">
        <v>33</v>
      </c>
      <c r="J10" s="118">
        <v>42</v>
      </c>
      <c r="K10" s="119">
        <v>33</v>
      </c>
      <c r="L10" s="24">
        <v>2</v>
      </c>
      <c r="M10" s="24">
        <v>3</v>
      </c>
      <c r="N10" s="24">
        <v>0</v>
      </c>
      <c r="O10" s="25">
        <v>3</v>
      </c>
      <c r="Q10" s="691"/>
      <c r="R10" s="125" t="s">
        <v>20</v>
      </c>
      <c r="S10" s="12">
        <v>2</v>
      </c>
      <c r="T10" s="12">
        <v>4</v>
      </c>
      <c r="U10" s="12">
        <v>3</v>
      </c>
      <c r="V10" s="12">
        <v>2</v>
      </c>
      <c r="W10" s="12">
        <v>2</v>
      </c>
      <c r="X10" s="12">
        <v>1</v>
      </c>
      <c r="Y10" s="12">
        <v>1</v>
      </c>
      <c r="Z10" s="12">
        <v>5</v>
      </c>
      <c r="AA10" s="12">
        <v>2</v>
      </c>
      <c r="AB10" s="12">
        <v>0</v>
      </c>
      <c r="AC10" s="12">
        <v>3</v>
      </c>
      <c r="AD10" s="12">
        <v>3</v>
      </c>
      <c r="AF10" s="691"/>
      <c r="AG10" s="22" t="s">
        <v>20</v>
      </c>
      <c r="AH10" s="24">
        <v>3</v>
      </c>
      <c r="AI10" s="24">
        <v>6</v>
      </c>
      <c r="AJ10" s="324">
        <v>42</v>
      </c>
      <c r="AK10" s="23">
        <v>29</v>
      </c>
      <c r="AL10" s="24">
        <v>29</v>
      </c>
      <c r="AM10" s="23">
        <v>30</v>
      </c>
      <c r="AN10" s="324">
        <v>35</v>
      </c>
      <c r="AO10" s="324">
        <v>40</v>
      </c>
      <c r="AP10" s="324">
        <v>36</v>
      </c>
      <c r="AQ10" s="23">
        <v>30</v>
      </c>
      <c r="AR10" s="23">
        <v>20</v>
      </c>
      <c r="AS10" s="25">
        <v>6</v>
      </c>
      <c r="AU10" s="691"/>
      <c r="AV10" s="22" t="s">
        <v>20</v>
      </c>
      <c r="AW10" s="621">
        <v>76</v>
      </c>
      <c r="AX10" s="621">
        <v>72</v>
      </c>
      <c r="AY10" s="24">
        <v>1</v>
      </c>
      <c r="AZ10" s="24">
        <v>4</v>
      </c>
      <c r="BA10" s="24">
        <v>0</v>
      </c>
      <c r="BB10" s="24">
        <v>0</v>
      </c>
      <c r="BC10" s="24">
        <v>0</v>
      </c>
      <c r="BD10" s="24">
        <v>6</v>
      </c>
      <c r="BE10" s="24">
        <v>0</v>
      </c>
      <c r="BF10" s="24">
        <v>1</v>
      </c>
      <c r="BG10" s="24">
        <v>0</v>
      </c>
      <c r="BH10" s="25">
        <v>0</v>
      </c>
      <c r="BJ10" s="691"/>
      <c r="BK10" s="10" t="s">
        <v>20</v>
      </c>
      <c r="BL10" s="12">
        <v>5</v>
      </c>
      <c r="BM10" s="12">
        <v>1</v>
      </c>
      <c r="BN10" s="12">
        <v>0</v>
      </c>
      <c r="BO10" s="12">
        <v>4</v>
      </c>
      <c r="BP10" s="12">
        <v>4</v>
      </c>
      <c r="BQ10" s="12">
        <v>0</v>
      </c>
      <c r="BR10" s="12">
        <v>5</v>
      </c>
      <c r="BS10" s="12">
        <v>0</v>
      </c>
      <c r="BT10" s="12">
        <v>1</v>
      </c>
      <c r="BU10" s="12">
        <v>0</v>
      </c>
      <c r="BV10" s="12">
        <v>0</v>
      </c>
      <c r="BW10" s="12">
        <v>1</v>
      </c>
    </row>
    <row r="11" spans="1:75" ht="15.75" thickBot="1" x14ac:dyDescent="0.3">
      <c r="B11" s="686" t="s">
        <v>99</v>
      </c>
      <c r="C11" s="705"/>
      <c r="D11" s="705"/>
      <c r="E11" s="705"/>
      <c r="F11" s="705"/>
      <c r="G11" s="705"/>
      <c r="H11" s="764"/>
      <c r="I11" s="705">
        <f>AVERAGE(L4:M10,N3:O10)</f>
        <v>1.7333333333333334</v>
      </c>
      <c r="J11" s="705"/>
      <c r="K11" s="705"/>
      <c r="L11" s="705"/>
      <c r="M11" s="705"/>
      <c r="N11" s="705"/>
      <c r="O11" s="706"/>
      <c r="Q11" s="704" t="s">
        <v>99</v>
      </c>
      <c r="R11" s="705"/>
      <c r="S11" s="705"/>
      <c r="T11" s="705"/>
      <c r="U11" s="705"/>
      <c r="V11" s="705"/>
      <c r="W11" s="706"/>
      <c r="X11" s="705">
        <f>AVERAGE(S9:T9,S10:AD10)</f>
        <v>2.3571428571428572</v>
      </c>
      <c r="Y11" s="705"/>
      <c r="Z11" s="705"/>
      <c r="AA11" s="705"/>
      <c r="AB11" s="705"/>
      <c r="AC11" s="705"/>
      <c r="AD11" s="706"/>
      <c r="AF11" s="704" t="s">
        <v>99</v>
      </c>
      <c r="AG11" s="705"/>
      <c r="AH11" s="705"/>
      <c r="AI11" s="705"/>
      <c r="AJ11" s="705"/>
      <c r="AK11" s="705"/>
      <c r="AL11" s="706"/>
      <c r="AM11" s="757">
        <f>AVERAGE(AO5:AS6,AQ7:AS8,AS9:AS10,AH9:AI10)</f>
        <v>3</v>
      </c>
      <c r="AN11" s="758"/>
      <c r="AO11" s="758"/>
      <c r="AP11" s="758"/>
      <c r="AQ11" s="758"/>
      <c r="AR11" s="758"/>
      <c r="AS11" s="759"/>
      <c r="AU11" s="716" t="s">
        <v>99</v>
      </c>
      <c r="AV11" s="649"/>
      <c r="AW11" s="649"/>
      <c r="AX11" s="649"/>
      <c r="AY11" s="649"/>
      <c r="AZ11" s="649"/>
      <c r="BA11" s="649"/>
      <c r="BB11" s="704">
        <f>AVERAGE(AY8:BB10,BC7:BD10,BE3:BH10)</f>
        <v>1.7884615384615385</v>
      </c>
      <c r="BC11" s="705"/>
      <c r="BD11" s="705"/>
      <c r="BE11" s="705"/>
      <c r="BF11" s="705"/>
      <c r="BG11" s="705"/>
      <c r="BH11" s="706"/>
      <c r="BJ11" s="716" t="s">
        <v>99</v>
      </c>
      <c r="BK11" s="649"/>
      <c r="BL11" s="649"/>
      <c r="BM11" s="649"/>
      <c r="BN11" s="649"/>
      <c r="BO11" s="649"/>
      <c r="BP11" s="649"/>
      <c r="BQ11" s="704">
        <f>AVERAGE(BN8:BQ10,BR7:BS10,BT7:BW10,BV3:BW6,BL9:BM10,BN7:BO7)</f>
        <v>2.4</v>
      </c>
      <c r="BR11" s="705"/>
      <c r="BS11" s="705"/>
      <c r="BT11" s="705"/>
      <c r="BU11" s="705"/>
      <c r="BV11" s="705"/>
      <c r="BW11" s="706"/>
    </row>
    <row r="12" spans="1:75" ht="30" customHeight="1" x14ac:dyDescent="0.25">
      <c r="B12" s="689" t="s">
        <v>88</v>
      </c>
      <c r="C12" s="126"/>
      <c r="D12" s="19">
        <v>1</v>
      </c>
      <c r="E12" s="19">
        <v>2</v>
      </c>
      <c r="F12" s="19">
        <v>3</v>
      </c>
      <c r="G12" s="19">
        <v>4</v>
      </c>
      <c r="H12" s="19">
        <v>5</v>
      </c>
      <c r="I12" s="19">
        <v>6</v>
      </c>
      <c r="J12" s="19">
        <v>7</v>
      </c>
      <c r="K12" s="19">
        <v>8</v>
      </c>
      <c r="L12" s="19">
        <v>9</v>
      </c>
      <c r="M12" s="19">
        <v>10</v>
      </c>
      <c r="N12" s="19">
        <v>11</v>
      </c>
      <c r="O12" s="20">
        <v>12</v>
      </c>
      <c r="Q12" s="689" t="s">
        <v>88</v>
      </c>
      <c r="R12" s="231"/>
      <c r="S12" s="10">
        <v>1</v>
      </c>
      <c r="T12" s="10">
        <v>2</v>
      </c>
      <c r="U12" s="10">
        <v>3</v>
      </c>
      <c r="V12" s="10">
        <v>4</v>
      </c>
      <c r="W12" s="10">
        <v>5</v>
      </c>
      <c r="X12" s="10">
        <v>6</v>
      </c>
      <c r="Y12" s="10">
        <v>7</v>
      </c>
      <c r="Z12" s="10">
        <v>8</v>
      </c>
      <c r="AA12" s="10">
        <v>9</v>
      </c>
      <c r="AB12" s="10">
        <v>10</v>
      </c>
      <c r="AC12" s="10">
        <v>11</v>
      </c>
      <c r="AD12" s="10">
        <v>12</v>
      </c>
      <c r="AF12" s="689" t="s">
        <v>88</v>
      </c>
      <c r="AG12" s="18"/>
      <c r="AH12" s="19">
        <v>1</v>
      </c>
      <c r="AI12" s="19">
        <v>2</v>
      </c>
      <c r="AJ12" s="19">
        <v>3</v>
      </c>
      <c r="AK12" s="19">
        <v>4</v>
      </c>
      <c r="AL12" s="19">
        <v>5</v>
      </c>
      <c r="AM12" s="19">
        <v>6</v>
      </c>
      <c r="AN12" s="19">
        <v>7</v>
      </c>
      <c r="AO12" s="19">
        <v>8</v>
      </c>
      <c r="AP12" s="19">
        <v>9</v>
      </c>
      <c r="AQ12" s="19">
        <v>10</v>
      </c>
      <c r="AR12" s="19">
        <v>11</v>
      </c>
      <c r="AS12" s="20">
        <v>12</v>
      </c>
      <c r="AU12" s="689" t="s">
        <v>88</v>
      </c>
      <c r="AV12" s="18"/>
      <c r="AW12" s="19">
        <v>1</v>
      </c>
      <c r="AX12" s="19">
        <v>2</v>
      </c>
      <c r="AY12" s="19">
        <v>3</v>
      </c>
      <c r="AZ12" s="19">
        <v>4</v>
      </c>
      <c r="BA12" s="19">
        <v>5</v>
      </c>
      <c r="BB12" s="19">
        <v>6</v>
      </c>
      <c r="BC12" s="19">
        <v>7</v>
      </c>
      <c r="BD12" s="19">
        <v>8</v>
      </c>
      <c r="BE12" s="19">
        <v>9</v>
      </c>
      <c r="BF12" s="19">
        <v>10</v>
      </c>
      <c r="BG12" s="19">
        <v>11</v>
      </c>
      <c r="BH12" s="20">
        <v>12</v>
      </c>
      <c r="BJ12" s="689" t="s">
        <v>88</v>
      </c>
      <c r="BK12" s="18"/>
      <c r="BL12" s="19">
        <v>1</v>
      </c>
      <c r="BM12" s="19">
        <v>2</v>
      </c>
      <c r="BN12" s="19">
        <v>3</v>
      </c>
      <c r="BO12" s="19">
        <v>4</v>
      </c>
      <c r="BP12" s="19">
        <v>5</v>
      </c>
      <c r="BQ12" s="19">
        <v>6</v>
      </c>
      <c r="BR12" s="19">
        <v>7</v>
      </c>
      <c r="BS12" s="19">
        <v>8</v>
      </c>
      <c r="BT12" s="19">
        <v>9</v>
      </c>
      <c r="BU12" s="19">
        <v>10</v>
      </c>
      <c r="BV12" s="19">
        <v>11</v>
      </c>
      <c r="BW12" s="20">
        <v>12</v>
      </c>
    </row>
    <row r="13" spans="1:75" ht="15" customHeight="1" x14ac:dyDescent="0.25">
      <c r="B13" s="690"/>
      <c r="C13" s="125" t="s">
        <v>13</v>
      </c>
      <c r="D13" s="120">
        <f t="shared" ref="D13:O13" si="0">D3-$I$11</f>
        <v>2.2666666666666666</v>
      </c>
      <c r="E13" s="120">
        <f t="shared" si="0"/>
        <v>-1.7333333333333334</v>
      </c>
      <c r="F13" s="120">
        <f t="shared" si="0"/>
        <v>52.266666666666666</v>
      </c>
      <c r="G13" s="120">
        <f t="shared" si="0"/>
        <v>49.266666666666666</v>
      </c>
      <c r="H13" s="120">
        <f t="shared" si="0"/>
        <v>30.266666666666666</v>
      </c>
      <c r="I13" s="120">
        <f t="shared" si="0"/>
        <v>39.266666666666666</v>
      </c>
      <c r="J13" s="120">
        <f t="shared" si="0"/>
        <v>25.266666666666666</v>
      </c>
      <c r="K13" s="120">
        <f t="shared" si="0"/>
        <v>22.266666666666666</v>
      </c>
      <c r="L13" s="120">
        <f t="shared" si="0"/>
        <v>34.266666666666666</v>
      </c>
      <c r="M13" s="120">
        <f t="shared" si="0"/>
        <v>32.266666666666666</v>
      </c>
      <c r="N13" s="120">
        <f t="shared" si="0"/>
        <v>-0.73333333333333339</v>
      </c>
      <c r="O13" s="127">
        <f t="shared" si="0"/>
        <v>1.2666666666666666</v>
      </c>
      <c r="Q13" s="690"/>
      <c r="R13" s="125" t="s">
        <v>13</v>
      </c>
      <c r="S13" s="12">
        <f>S3-$X$11</f>
        <v>1.6428571428571428</v>
      </c>
      <c r="T13" s="12">
        <f t="shared" ref="T13:AD13" si="1">T3-$X$11</f>
        <v>0.64285714285714279</v>
      </c>
      <c r="U13" s="12">
        <f t="shared" si="1"/>
        <v>103.64285714285714</v>
      </c>
      <c r="V13" s="12">
        <f t="shared" si="1"/>
        <v>105.64285714285714</v>
      </c>
      <c r="W13" s="12">
        <f t="shared" si="1"/>
        <v>95.642857142857139</v>
      </c>
      <c r="X13" s="12">
        <f t="shared" si="1"/>
        <v>92.642857142857139</v>
      </c>
      <c r="Y13" s="12">
        <f t="shared" si="1"/>
        <v>81.642857142857139</v>
      </c>
      <c r="Z13" s="12">
        <f t="shared" si="1"/>
        <v>74.642857142857139</v>
      </c>
      <c r="AA13" s="12">
        <f t="shared" si="1"/>
        <v>83.642857142857139</v>
      </c>
      <c r="AB13" s="12">
        <f t="shared" si="1"/>
        <v>88.642857142857139</v>
      </c>
      <c r="AC13" s="12">
        <f t="shared" si="1"/>
        <v>96.642857142857139</v>
      </c>
      <c r="AD13" s="12">
        <f t="shared" si="1"/>
        <v>88.642857142857139</v>
      </c>
      <c r="AF13" s="690"/>
      <c r="AG13" s="10" t="s">
        <v>13</v>
      </c>
      <c r="AH13" s="121">
        <f>AH3-$AM$11</f>
        <v>-2</v>
      </c>
      <c r="AI13" s="121">
        <f t="shared" ref="AI13:AS13" si="2">AI3-$AM$11</f>
        <v>3</v>
      </c>
      <c r="AJ13" s="121">
        <f t="shared" si="2"/>
        <v>40</v>
      </c>
      <c r="AK13" s="121">
        <f t="shared" si="2"/>
        <v>29</v>
      </c>
      <c r="AL13" s="121">
        <f t="shared" si="2"/>
        <v>27</v>
      </c>
      <c r="AM13" s="121">
        <f t="shared" si="2"/>
        <v>36</v>
      </c>
      <c r="AN13" s="121">
        <f t="shared" si="2"/>
        <v>41</v>
      </c>
      <c r="AO13" s="121">
        <f t="shared" si="2"/>
        <v>32</v>
      </c>
      <c r="AP13" s="121">
        <f t="shared" si="2"/>
        <v>30</v>
      </c>
      <c r="AQ13" s="121">
        <f t="shared" si="2"/>
        <v>32</v>
      </c>
      <c r="AR13" s="121">
        <f t="shared" si="2"/>
        <v>48</v>
      </c>
      <c r="AS13" s="325">
        <f t="shared" si="2"/>
        <v>24</v>
      </c>
      <c r="AU13" s="690"/>
      <c r="AV13" s="10" t="s">
        <v>13</v>
      </c>
      <c r="AW13" s="12">
        <f>AW3-$BB$11</f>
        <v>0.21153846153846145</v>
      </c>
      <c r="AX13" s="12">
        <f t="shared" ref="AX13:BH13" si="3">AX3-$BB$11</f>
        <v>1.2115384615384615</v>
      </c>
      <c r="AY13" s="12">
        <f t="shared" si="3"/>
        <v>31.21153846153846</v>
      </c>
      <c r="AZ13" s="12">
        <f t="shared" si="3"/>
        <v>30.21153846153846</v>
      </c>
      <c r="BA13" s="12">
        <f t="shared" si="3"/>
        <v>23.21153846153846</v>
      </c>
      <c r="BB13" s="12">
        <f t="shared" si="3"/>
        <v>20.21153846153846</v>
      </c>
      <c r="BC13" s="12">
        <f t="shared" si="3"/>
        <v>26.21153846153846</v>
      </c>
      <c r="BD13" s="12">
        <f t="shared" si="3"/>
        <v>23.21153846153846</v>
      </c>
      <c r="BE13" s="12">
        <f t="shared" si="3"/>
        <v>0.21153846153846145</v>
      </c>
      <c r="BF13" s="12">
        <f t="shared" si="3"/>
        <v>1.2115384615384615</v>
      </c>
      <c r="BG13" s="12">
        <f t="shared" si="3"/>
        <v>1.2115384615384615</v>
      </c>
      <c r="BH13" s="21">
        <f t="shared" si="3"/>
        <v>3.2115384615384617</v>
      </c>
      <c r="BJ13" s="690"/>
      <c r="BK13" s="10" t="s">
        <v>13</v>
      </c>
      <c r="BL13" s="12">
        <f>BL3-$BQ$11</f>
        <v>-1.4</v>
      </c>
      <c r="BM13" s="12">
        <f t="shared" ref="BM13:BW13" si="4">BM3-$BQ$11</f>
        <v>-2.4</v>
      </c>
      <c r="BN13" s="12">
        <f t="shared" si="4"/>
        <v>25.6</v>
      </c>
      <c r="BO13" s="12">
        <f t="shared" si="4"/>
        <v>30.6</v>
      </c>
      <c r="BP13" s="12">
        <f t="shared" si="4"/>
        <v>28.6</v>
      </c>
      <c r="BQ13" s="12">
        <f t="shared" si="4"/>
        <v>30.6</v>
      </c>
      <c r="BR13" s="12">
        <f t="shared" si="4"/>
        <v>50.6</v>
      </c>
      <c r="BS13" s="12">
        <f t="shared" si="4"/>
        <v>50.6</v>
      </c>
      <c r="BT13" s="12">
        <f t="shared" si="4"/>
        <v>52.6</v>
      </c>
      <c r="BU13" s="12">
        <f t="shared" si="4"/>
        <v>52.6</v>
      </c>
      <c r="BV13" s="12">
        <f t="shared" si="4"/>
        <v>1.6</v>
      </c>
      <c r="BW13" s="21">
        <f t="shared" si="4"/>
        <v>-1.4</v>
      </c>
    </row>
    <row r="14" spans="1:75" x14ac:dyDescent="0.25">
      <c r="B14" s="690"/>
      <c r="C14" s="125" t="s">
        <v>14</v>
      </c>
      <c r="D14" s="120">
        <f t="shared" ref="D14:O14" si="5">D4-$I$11</f>
        <v>15.266666666666666</v>
      </c>
      <c r="E14" s="120">
        <f t="shared" si="5"/>
        <v>10.266666666666666</v>
      </c>
      <c r="F14" s="120">
        <f t="shared" si="5"/>
        <v>26.266666666666666</v>
      </c>
      <c r="G14" s="120">
        <f t="shared" si="5"/>
        <v>24.266666666666666</v>
      </c>
      <c r="H14" s="120">
        <f t="shared" si="5"/>
        <v>36.266666666666666</v>
      </c>
      <c r="I14" s="120">
        <f t="shared" si="5"/>
        <v>38.266666666666666</v>
      </c>
      <c r="J14" s="120">
        <f t="shared" si="5"/>
        <v>29.266666666666666</v>
      </c>
      <c r="K14" s="120">
        <f t="shared" si="5"/>
        <v>34.266666666666666</v>
      </c>
      <c r="L14" s="120">
        <f t="shared" si="5"/>
        <v>-1.7333333333333334</v>
      </c>
      <c r="M14" s="120">
        <f t="shared" si="5"/>
        <v>2.2666666666666666</v>
      </c>
      <c r="N14" s="120">
        <f t="shared" si="5"/>
        <v>-0.73333333333333339</v>
      </c>
      <c r="O14" s="127">
        <f t="shared" si="5"/>
        <v>2.2666666666666666</v>
      </c>
      <c r="Q14" s="690"/>
      <c r="R14" s="125" t="s">
        <v>14</v>
      </c>
      <c r="S14" s="12">
        <f t="shared" ref="S14:AD20" si="6">S4-$X$11</f>
        <v>24.642857142857142</v>
      </c>
      <c r="T14" s="12">
        <f t="shared" si="6"/>
        <v>20.642857142857142</v>
      </c>
      <c r="U14" s="12">
        <f t="shared" si="6"/>
        <v>96.642857142857139</v>
      </c>
      <c r="V14" s="12">
        <f t="shared" si="6"/>
        <v>80.642857142857139</v>
      </c>
      <c r="W14" s="12">
        <f t="shared" si="6"/>
        <v>60.642857142857146</v>
      </c>
      <c r="X14" s="12">
        <f t="shared" si="6"/>
        <v>62.642857142857146</v>
      </c>
      <c r="Y14" s="12">
        <f t="shared" si="6"/>
        <v>44.642857142857146</v>
      </c>
      <c r="Z14" s="12">
        <f t="shared" si="6"/>
        <v>41.642857142857146</v>
      </c>
      <c r="AA14" s="12">
        <f t="shared" si="6"/>
        <v>47.642857142857146</v>
      </c>
      <c r="AB14" s="12">
        <f t="shared" si="6"/>
        <v>40.642857142857146</v>
      </c>
      <c r="AC14" s="12">
        <f t="shared" si="6"/>
        <v>45.642857142857146</v>
      </c>
      <c r="AD14" s="12">
        <f t="shared" si="6"/>
        <v>43.642857142857146</v>
      </c>
      <c r="AF14" s="690"/>
      <c r="AG14" s="10" t="s">
        <v>14</v>
      </c>
      <c r="AH14" s="121">
        <f t="shared" ref="AH14:AS20" si="7">AH4-$AM$11</f>
        <v>21</v>
      </c>
      <c r="AI14" s="121">
        <f t="shared" si="7"/>
        <v>15</v>
      </c>
      <c r="AJ14" s="121">
        <f t="shared" si="7"/>
        <v>48</v>
      </c>
      <c r="AK14" s="121">
        <f t="shared" si="7"/>
        <v>36</v>
      </c>
      <c r="AL14" s="121">
        <f t="shared" si="7"/>
        <v>25</v>
      </c>
      <c r="AM14" s="121">
        <f t="shared" si="7"/>
        <v>30</v>
      </c>
      <c r="AN14" s="121">
        <f t="shared" si="7"/>
        <v>33</v>
      </c>
      <c r="AO14" s="121">
        <f t="shared" si="7"/>
        <v>32</v>
      </c>
      <c r="AP14" s="121">
        <f t="shared" si="7"/>
        <v>20</v>
      </c>
      <c r="AQ14" s="121">
        <f t="shared" si="7"/>
        <v>26</v>
      </c>
      <c r="AR14" s="121">
        <f t="shared" si="7"/>
        <v>45</v>
      </c>
      <c r="AS14" s="325">
        <f t="shared" si="7"/>
        <v>23</v>
      </c>
      <c r="AU14" s="690"/>
      <c r="AV14" s="10" t="s">
        <v>14</v>
      </c>
      <c r="AW14" s="12">
        <f t="shared" ref="AW14:BH20" si="8">AW4-$BB$11</f>
        <v>32.21153846153846</v>
      </c>
      <c r="AX14" s="12">
        <f t="shared" si="8"/>
        <v>26.21153846153846</v>
      </c>
      <c r="AY14" s="12">
        <f t="shared" si="8"/>
        <v>45.21153846153846</v>
      </c>
      <c r="AZ14" s="12">
        <f t="shared" si="8"/>
        <v>52.21153846153846</v>
      </c>
      <c r="BA14" s="12">
        <f t="shared" si="8"/>
        <v>24.21153846153846</v>
      </c>
      <c r="BB14" s="12">
        <f t="shared" si="8"/>
        <v>24.21153846153846</v>
      </c>
      <c r="BC14" s="12">
        <f t="shared" si="8"/>
        <v>20.21153846153846</v>
      </c>
      <c r="BD14" s="12">
        <f t="shared" si="8"/>
        <v>24.21153846153846</v>
      </c>
      <c r="BE14" s="12">
        <f t="shared" si="8"/>
        <v>0.21153846153846145</v>
      </c>
      <c r="BF14" s="12">
        <f t="shared" si="8"/>
        <v>0.21153846153846145</v>
      </c>
      <c r="BG14" s="12">
        <f t="shared" si="8"/>
        <v>-1.7884615384615385</v>
      </c>
      <c r="BH14" s="21">
        <f t="shared" si="8"/>
        <v>-0.78846153846153855</v>
      </c>
      <c r="BJ14" s="690"/>
      <c r="BK14" s="10" t="s">
        <v>14</v>
      </c>
      <c r="BL14" s="12">
        <f t="shared" ref="BL14:BL20" si="9">BL4-$BQ$11</f>
        <v>19.600000000000001</v>
      </c>
      <c r="BM14" s="12">
        <f t="shared" ref="BM14:BW14" si="10">BM4-$BQ$11</f>
        <v>27.6</v>
      </c>
      <c r="BN14" s="12">
        <f t="shared" si="10"/>
        <v>34.6</v>
      </c>
      <c r="BO14" s="12">
        <f t="shared" si="10"/>
        <v>32.6</v>
      </c>
      <c r="BP14" s="12">
        <f t="shared" si="10"/>
        <v>40.6</v>
      </c>
      <c r="BQ14" s="12">
        <f t="shared" si="10"/>
        <v>38.6</v>
      </c>
      <c r="BR14" s="12">
        <f t="shared" si="10"/>
        <v>52.6</v>
      </c>
      <c r="BS14" s="12">
        <f t="shared" si="10"/>
        <v>53.6</v>
      </c>
      <c r="BT14" s="12">
        <f t="shared" si="10"/>
        <v>51.6</v>
      </c>
      <c r="BU14" s="12">
        <f t="shared" si="10"/>
        <v>53.6</v>
      </c>
      <c r="BV14" s="12">
        <f t="shared" si="10"/>
        <v>-0.39999999999999991</v>
      </c>
      <c r="BW14" s="21">
        <f t="shared" si="10"/>
        <v>4.5999999999999996</v>
      </c>
    </row>
    <row r="15" spans="1:75" ht="30" customHeight="1" x14ac:dyDescent="0.25">
      <c r="B15" s="690"/>
      <c r="C15" s="125" t="s">
        <v>15</v>
      </c>
      <c r="D15" s="120">
        <f t="shared" ref="D15:O15" si="11">D5-$I$11</f>
        <v>26.266666666666666</v>
      </c>
      <c r="E15" s="120">
        <f t="shared" si="11"/>
        <v>29.266666666666666</v>
      </c>
      <c r="F15" s="120">
        <f t="shared" si="11"/>
        <v>20.266666666666666</v>
      </c>
      <c r="G15" s="120">
        <f t="shared" si="11"/>
        <v>13.266666666666666</v>
      </c>
      <c r="H15" s="120">
        <f t="shared" si="11"/>
        <v>51.266666666666666</v>
      </c>
      <c r="I15" s="120">
        <f t="shared" si="11"/>
        <v>49.266666666666666</v>
      </c>
      <c r="J15" s="120">
        <f t="shared" si="11"/>
        <v>26.266666666666666</v>
      </c>
      <c r="K15" s="120">
        <f t="shared" si="11"/>
        <v>34.266666666666666</v>
      </c>
      <c r="L15" s="120">
        <f t="shared" si="11"/>
        <v>-0.73333333333333339</v>
      </c>
      <c r="M15" s="120">
        <f t="shared" si="11"/>
        <v>1.2666666666666666</v>
      </c>
      <c r="N15" s="120">
        <f t="shared" si="11"/>
        <v>2.2666666666666666</v>
      </c>
      <c r="O15" s="127">
        <f t="shared" si="11"/>
        <v>-1.7333333333333334</v>
      </c>
      <c r="Q15" s="690"/>
      <c r="R15" s="125" t="s">
        <v>15</v>
      </c>
      <c r="S15" s="12">
        <f t="shared" si="6"/>
        <v>32.642857142857146</v>
      </c>
      <c r="T15" s="12">
        <f t="shared" si="6"/>
        <v>43.642857142857146</v>
      </c>
      <c r="U15" s="12">
        <f t="shared" si="6"/>
        <v>79.642857142857139</v>
      </c>
      <c r="V15" s="12">
        <f t="shared" si="6"/>
        <v>77.642857142857139</v>
      </c>
      <c r="W15" s="12">
        <f t="shared" si="6"/>
        <v>44.642857142857146</v>
      </c>
      <c r="X15" s="12">
        <f t="shared" si="6"/>
        <v>45.642857142857146</v>
      </c>
      <c r="Y15" s="12">
        <f t="shared" si="6"/>
        <v>29.642857142857142</v>
      </c>
      <c r="Z15" s="12">
        <f t="shared" si="6"/>
        <v>31.642857142857142</v>
      </c>
      <c r="AA15" s="12">
        <f t="shared" si="6"/>
        <v>43.642857142857146</v>
      </c>
      <c r="AB15" s="12">
        <f t="shared" si="6"/>
        <v>46.642857142857146</v>
      </c>
      <c r="AC15" s="12">
        <f t="shared" si="6"/>
        <v>28.642857142857142</v>
      </c>
      <c r="AD15" s="12">
        <f t="shared" si="6"/>
        <v>23.642857142857142</v>
      </c>
      <c r="AF15" s="690"/>
      <c r="AG15" s="10" t="s">
        <v>15</v>
      </c>
      <c r="AH15" s="121">
        <f t="shared" si="7"/>
        <v>43</v>
      </c>
      <c r="AI15" s="121">
        <f t="shared" si="7"/>
        <v>42</v>
      </c>
      <c r="AJ15" s="121">
        <f t="shared" si="7"/>
        <v>44</v>
      </c>
      <c r="AK15" s="121">
        <f t="shared" si="7"/>
        <v>50</v>
      </c>
      <c r="AL15" s="121">
        <f t="shared" si="7"/>
        <v>53</v>
      </c>
      <c r="AM15" s="121">
        <f t="shared" si="7"/>
        <v>45</v>
      </c>
      <c r="AN15" s="121">
        <f t="shared" si="7"/>
        <v>46</v>
      </c>
      <c r="AO15" s="121">
        <f t="shared" si="7"/>
        <v>2</v>
      </c>
      <c r="AP15" s="121">
        <f t="shared" si="7"/>
        <v>-3</v>
      </c>
      <c r="AQ15" s="121">
        <f t="shared" si="7"/>
        <v>0</v>
      </c>
      <c r="AR15" s="121">
        <f t="shared" si="7"/>
        <v>-2</v>
      </c>
      <c r="AS15" s="325">
        <f t="shared" si="7"/>
        <v>1</v>
      </c>
      <c r="AU15" s="690"/>
      <c r="AV15" s="10" t="s">
        <v>15</v>
      </c>
      <c r="AW15" s="12">
        <f t="shared" si="8"/>
        <v>68.211538461538467</v>
      </c>
      <c r="AX15" s="12">
        <f t="shared" si="8"/>
        <v>63.21153846153846</v>
      </c>
      <c r="AY15" s="12">
        <f t="shared" si="8"/>
        <v>25.21153846153846</v>
      </c>
      <c r="AZ15" s="12">
        <f t="shared" si="8"/>
        <v>24.21153846153846</v>
      </c>
      <c r="BA15" s="12">
        <f t="shared" si="8"/>
        <v>26.21153846153846</v>
      </c>
      <c r="BB15" s="12">
        <f t="shared" si="8"/>
        <v>23.21153846153846</v>
      </c>
      <c r="BC15" s="12">
        <f t="shared" si="8"/>
        <v>10.211538461538462</v>
      </c>
      <c r="BD15" s="12">
        <f t="shared" si="8"/>
        <v>8.2115384615384617</v>
      </c>
      <c r="BE15" s="12">
        <f t="shared" si="8"/>
        <v>2.2115384615384617</v>
      </c>
      <c r="BF15" s="12">
        <f t="shared" si="8"/>
        <v>-1.7884615384615385</v>
      </c>
      <c r="BG15" s="12">
        <f t="shared" si="8"/>
        <v>0.21153846153846145</v>
      </c>
      <c r="BH15" s="21">
        <f t="shared" si="8"/>
        <v>1.2115384615384615</v>
      </c>
      <c r="BJ15" s="690"/>
      <c r="BK15" s="10" t="s">
        <v>15</v>
      </c>
      <c r="BL15" s="12">
        <f t="shared" si="9"/>
        <v>50.6</v>
      </c>
      <c r="BM15" s="12">
        <f t="shared" ref="BM15:BW15" si="12">BM5-$BQ$11</f>
        <v>47.6</v>
      </c>
      <c r="BN15" s="12">
        <f t="shared" si="12"/>
        <v>29.6</v>
      </c>
      <c r="BO15" s="12">
        <f t="shared" si="12"/>
        <v>27.6</v>
      </c>
      <c r="BP15" s="12">
        <f t="shared" si="12"/>
        <v>42.6</v>
      </c>
      <c r="BQ15" s="12">
        <f t="shared" si="12"/>
        <v>39.6</v>
      </c>
      <c r="BR15" s="12">
        <f t="shared" si="12"/>
        <v>48.6</v>
      </c>
      <c r="BS15" s="12">
        <f t="shared" si="12"/>
        <v>41.6</v>
      </c>
      <c r="BT15" s="12">
        <f t="shared" si="12"/>
        <v>57.6</v>
      </c>
      <c r="BU15" s="12">
        <f t="shared" si="12"/>
        <v>51.6</v>
      </c>
      <c r="BV15" s="12">
        <f t="shared" si="12"/>
        <v>-2.4</v>
      </c>
      <c r="BW15" s="21">
        <f t="shared" si="12"/>
        <v>-2.4</v>
      </c>
    </row>
    <row r="16" spans="1:75" x14ac:dyDescent="0.25">
      <c r="B16" s="690"/>
      <c r="C16" s="125" t="s">
        <v>16</v>
      </c>
      <c r="D16" s="120">
        <f t="shared" ref="D16:O16" si="13">D6-$I$11</f>
        <v>43.266666666666666</v>
      </c>
      <c r="E16" s="120">
        <f t="shared" si="13"/>
        <v>40.266666666666666</v>
      </c>
      <c r="F16" s="120">
        <f t="shared" si="13"/>
        <v>21.266666666666666</v>
      </c>
      <c r="G16" s="120">
        <f t="shared" si="13"/>
        <v>22.266666666666666</v>
      </c>
      <c r="H16" s="120">
        <f t="shared" si="13"/>
        <v>37.266666666666666</v>
      </c>
      <c r="I16" s="120">
        <f t="shared" si="13"/>
        <v>38.266666666666666</v>
      </c>
      <c r="J16" s="120">
        <f t="shared" si="13"/>
        <v>26.266666666666666</v>
      </c>
      <c r="K16" s="120">
        <f t="shared" si="13"/>
        <v>33.266666666666666</v>
      </c>
      <c r="L16" s="120">
        <f t="shared" si="13"/>
        <v>-1.7333333333333334</v>
      </c>
      <c r="M16" s="120">
        <f t="shared" si="13"/>
        <v>-1.7333333333333334</v>
      </c>
      <c r="N16" s="120">
        <f t="shared" si="13"/>
        <v>-1.7333333333333334</v>
      </c>
      <c r="O16" s="127">
        <f t="shared" si="13"/>
        <v>-0.73333333333333339</v>
      </c>
      <c r="Q16" s="690"/>
      <c r="R16" s="125" t="s">
        <v>16</v>
      </c>
      <c r="S16" s="12">
        <f t="shared" si="6"/>
        <v>79.642857142857139</v>
      </c>
      <c r="T16" s="12">
        <f t="shared" si="6"/>
        <v>87.642857142857139</v>
      </c>
      <c r="U16" s="12">
        <f t="shared" si="6"/>
        <v>29.642857142857142</v>
      </c>
      <c r="V16" s="12">
        <f t="shared" si="6"/>
        <v>31.642857142857142</v>
      </c>
      <c r="W16" s="12">
        <f t="shared" si="6"/>
        <v>65.642857142857139</v>
      </c>
      <c r="X16" s="12">
        <f t="shared" si="6"/>
        <v>63.642857142857146</v>
      </c>
      <c r="Y16" s="12">
        <f t="shared" si="6"/>
        <v>70.642857142857139</v>
      </c>
      <c r="Z16" s="12">
        <f t="shared" si="6"/>
        <v>70.642857142857139</v>
      </c>
      <c r="AA16" s="12">
        <f t="shared" si="6"/>
        <v>50.642857142857146</v>
      </c>
      <c r="AB16" s="12">
        <f t="shared" si="6"/>
        <v>49.642857142857146</v>
      </c>
      <c r="AC16" s="12">
        <f t="shared" si="6"/>
        <v>59.642857142857146</v>
      </c>
      <c r="AD16" s="12">
        <f t="shared" si="6"/>
        <v>64.642857142857139</v>
      </c>
      <c r="AF16" s="690"/>
      <c r="AG16" s="10" t="s">
        <v>16</v>
      </c>
      <c r="AH16" s="121">
        <f t="shared" si="7"/>
        <v>94</v>
      </c>
      <c r="AI16" s="121">
        <f t="shared" si="7"/>
        <v>84</v>
      </c>
      <c r="AJ16" s="121">
        <f t="shared" si="7"/>
        <v>46</v>
      </c>
      <c r="AK16" s="121">
        <f t="shared" si="7"/>
        <v>48</v>
      </c>
      <c r="AL16" s="121">
        <f t="shared" si="7"/>
        <v>52</v>
      </c>
      <c r="AM16" s="121">
        <f t="shared" si="7"/>
        <v>42</v>
      </c>
      <c r="AN16" s="121">
        <f t="shared" si="7"/>
        <v>44</v>
      </c>
      <c r="AO16" s="121">
        <f t="shared" si="7"/>
        <v>0</v>
      </c>
      <c r="AP16" s="121">
        <f t="shared" si="7"/>
        <v>-3</v>
      </c>
      <c r="AQ16" s="121">
        <f t="shared" si="7"/>
        <v>4</v>
      </c>
      <c r="AR16" s="121">
        <f t="shared" si="7"/>
        <v>5</v>
      </c>
      <c r="AS16" s="325">
        <f t="shared" si="7"/>
        <v>-1</v>
      </c>
      <c r="AU16" s="690"/>
      <c r="AV16" s="10" t="s">
        <v>16</v>
      </c>
      <c r="AW16" s="12">
        <f t="shared" si="8"/>
        <v>127.21153846153847</v>
      </c>
      <c r="AX16" s="12">
        <f t="shared" si="8"/>
        <v>128.21153846153845</v>
      </c>
      <c r="AY16" s="12">
        <f t="shared" si="8"/>
        <v>43.21153846153846</v>
      </c>
      <c r="AZ16" s="12">
        <f t="shared" si="8"/>
        <v>44.21153846153846</v>
      </c>
      <c r="BA16" s="12">
        <f t="shared" si="8"/>
        <v>19.21153846153846</v>
      </c>
      <c r="BB16" s="12">
        <f t="shared" si="8"/>
        <v>20.21153846153846</v>
      </c>
      <c r="BC16" s="12">
        <f t="shared" si="8"/>
        <v>10.211538461538462</v>
      </c>
      <c r="BD16" s="12">
        <f t="shared" si="8"/>
        <v>13.211538461538462</v>
      </c>
      <c r="BE16" s="12">
        <f t="shared" si="8"/>
        <v>-1.7884615384615385</v>
      </c>
      <c r="BF16" s="12">
        <f t="shared" si="8"/>
        <v>3.2115384615384617</v>
      </c>
      <c r="BG16" s="12">
        <f t="shared" si="8"/>
        <v>2.2115384615384617</v>
      </c>
      <c r="BH16" s="21">
        <f t="shared" si="8"/>
        <v>-0.78846153846153855</v>
      </c>
      <c r="BJ16" s="690"/>
      <c r="BK16" s="10" t="s">
        <v>16</v>
      </c>
      <c r="BL16" s="12">
        <f t="shared" si="9"/>
        <v>97.6</v>
      </c>
      <c r="BM16" s="12">
        <f t="shared" ref="BM16:BW16" si="14">BM6-$BQ$11</f>
        <v>88.6</v>
      </c>
      <c r="BN16" s="12">
        <f t="shared" si="14"/>
        <v>32.6</v>
      </c>
      <c r="BO16" s="12">
        <f t="shared" si="14"/>
        <v>37.6</v>
      </c>
      <c r="BP16" s="12">
        <f t="shared" si="14"/>
        <v>36.6</v>
      </c>
      <c r="BQ16" s="12">
        <f t="shared" si="14"/>
        <v>33.6</v>
      </c>
      <c r="BR16" s="12">
        <f t="shared" si="14"/>
        <v>51.6</v>
      </c>
      <c r="BS16" s="12">
        <f t="shared" si="14"/>
        <v>55.6</v>
      </c>
      <c r="BT16" s="12">
        <f t="shared" si="14"/>
        <v>70.599999999999994</v>
      </c>
      <c r="BU16" s="12">
        <f t="shared" si="14"/>
        <v>64.599999999999994</v>
      </c>
      <c r="BV16" s="12">
        <f t="shared" si="14"/>
        <v>-1.4</v>
      </c>
      <c r="BW16" s="21">
        <f t="shared" si="14"/>
        <v>2.6</v>
      </c>
    </row>
    <row r="17" spans="2:75" x14ac:dyDescent="0.25">
      <c r="B17" s="690"/>
      <c r="C17" s="125" t="s">
        <v>17</v>
      </c>
      <c r="D17" s="120">
        <f t="shared" ref="D17:O17" si="15">D7-$I$11</f>
        <v>72.266666666666666</v>
      </c>
      <c r="E17" s="120">
        <f t="shared" si="15"/>
        <v>72.266666666666666</v>
      </c>
      <c r="F17" s="120">
        <f t="shared" si="15"/>
        <v>11.266666666666666</v>
      </c>
      <c r="G17" s="120">
        <f t="shared" si="15"/>
        <v>12.266666666666666</v>
      </c>
      <c r="H17" s="120">
        <f t="shared" si="15"/>
        <v>34.266666666666666</v>
      </c>
      <c r="I17" s="120">
        <f t="shared" si="15"/>
        <v>34.266666666666666</v>
      </c>
      <c r="J17" s="120">
        <f t="shared" si="15"/>
        <v>11.266666666666666</v>
      </c>
      <c r="K17" s="120">
        <f t="shared" si="15"/>
        <v>26.266666666666666</v>
      </c>
      <c r="L17" s="120">
        <f t="shared" si="15"/>
        <v>0.26666666666666661</v>
      </c>
      <c r="M17" s="120">
        <f t="shared" si="15"/>
        <v>2.2666666666666666</v>
      </c>
      <c r="N17" s="120">
        <f t="shared" si="15"/>
        <v>0.26666666666666661</v>
      </c>
      <c r="O17" s="127">
        <f t="shared" si="15"/>
        <v>1.2666666666666666</v>
      </c>
      <c r="Q17" s="690"/>
      <c r="R17" s="125" t="s">
        <v>17</v>
      </c>
      <c r="S17" s="12">
        <f t="shared" si="6"/>
        <v>156.64285714285714</v>
      </c>
      <c r="T17" s="12">
        <f t="shared" si="6"/>
        <v>154.64285714285714</v>
      </c>
      <c r="U17" s="12">
        <f t="shared" si="6"/>
        <v>54.642857142857146</v>
      </c>
      <c r="V17" s="12">
        <f t="shared" si="6"/>
        <v>50.642857142857146</v>
      </c>
      <c r="W17" s="12">
        <f t="shared" si="6"/>
        <v>51.642857142857146</v>
      </c>
      <c r="X17" s="12">
        <f t="shared" si="6"/>
        <v>56.642857142857146</v>
      </c>
      <c r="Y17" s="12">
        <f t="shared" si="6"/>
        <v>54.642857142857146</v>
      </c>
      <c r="Z17" s="12">
        <f t="shared" si="6"/>
        <v>57.642857142857146</v>
      </c>
      <c r="AA17" s="12">
        <f t="shared" si="6"/>
        <v>58.642857142857146</v>
      </c>
      <c r="AB17" s="12">
        <f t="shared" si="6"/>
        <v>57.642857142857146</v>
      </c>
      <c r="AC17" s="12">
        <f t="shared" si="6"/>
        <v>60.642857142857146</v>
      </c>
      <c r="AD17" s="12">
        <f t="shared" si="6"/>
        <v>60.642857142857146</v>
      </c>
      <c r="AF17" s="690"/>
      <c r="AG17" s="10" t="s">
        <v>17</v>
      </c>
      <c r="AH17" s="121">
        <f t="shared" si="7"/>
        <v>173</v>
      </c>
      <c r="AI17" s="121">
        <f t="shared" si="7"/>
        <v>166</v>
      </c>
      <c r="AJ17" s="121">
        <f t="shared" si="7"/>
        <v>25</v>
      </c>
      <c r="AK17" s="121">
        <f t="shared" si="7"/>
        <v>25</v>
      </c>
      <c r="AL17" s="121">
        <f t="shared" si="7"/>
        <v>26</v>
      </c>
      <c r="AM17" s="121">
        <f t="shared" si="7"/>
        <v>34</v>
      </c>
      <c r="AN17" s="121">
        <f t="shared" si="7"/>
        <v>34</v>
      </c>
      <c r="AO17" s="121">
        <f t="shared" si="7"/>
        <v>31</v>
      </c>
      <c r="AP17" s="121">
        <f t="shared" si="7"/>
        <v>24</v>
      </c>
      <c r="AQ17" s="121">
        <f t="shared" si="7"/>
        <v>2</v>
      </c>
      <c r="AR17" s="121">
        <f t="shared" si="7"/>
        <v>-1</v>
      </c>
      <c r="AS17" s="325">
        <f t="shared" si="7"/>
        <v>-2</v>
      </c>
      <c r="AU17" s="690"/>
      <c r="AV17" s="10" t="s">
        <v>17</v>
      </c>
      <c r="AW17" s="12">
        <f t="shared" si="8"/>
        <v>151.21153846153845</v>
      </c>
      <c r="AX17" s="12">
        <f t="shared" si="8"/>
        <v>134.21153846153845</v>
      </c>
      <c r="AY17" s="12">
        <f t="shared" si="8"/>
        <v>38.21153846153846</v>
      </c>
      <c r="AZ17" s="12">
        <f t="shared" si="8"/>
        <v>37.21153846153846</v>
      </c>
      <c r="BA17" s="12">
        <f t="shared" si="8"/>
        <v>24.21153846153846</v>
      </c>
      <c r="BB17" s="12">
        <f t="shared" si="8"/>
        <v>20.21153846153846</v>
      </c>
      <c r="BC17" s="12">
        <f t="shared" si="8"/>
        <v>-1.7884615384615385</v>
      </c>
      <c r="BD17" s="12">
        <f t="shared" si="8"/>
        <v>-1.7884615384615385</v>
      </c>
      <c r="BE17" s="12">
        <f t="shared" si="8"/>
        <v>0.21153846153846145</v>
      </c>
      <c r="BF17" s="12">
        <f t="shared" si="8"/>
        <v>1.2115384615384615</v>
      </c>
      <c r="BG17" s="12">
        <f t="shared" si="8"/>
        <v>-0.78846153846153855</v>
      </c>
      <c r="BH17" s="21">
        <f t="shared" si="8"/>
        <v>0.21153846153846145</v>
      </c>
      <c r="BJ17" s="690"/>
      <c r="BK17" s="10" t="s">
        <v>17</v>
      </c>
      <c r="BL17" s="12">
        <f t="shared" si="9"/>
        <v>185.6</v>
      </c>
      <c r="BM17" s="12">
        <f t="shared" ref="BM17:BW17" si="16">BM7-$BQ$11</f>
        <v>182.6</v>
      </c>
      <c r="BN17" s="12">
        <f t="shared" si="16"/>
        <v>1.6</v>
      </c>
      <c r="BO17" s="12">
        <f t="shared" si="16"/>
        <v>1.6</v>
      </c>
      <c r="BP17" s="12">
        <f t="shared" si="16"/>
        <v>35.6</v>
      </c>
      <c r="BQ17" s="12">
        <f t="shared" si="16"/>
        <v>33.6</v>
      </c>
      <c r="BR17" s="12">
        <f t="shared" si="16"/>
        <v>-2.4</v>
      </c>
      <c r="BS17" s="12">
        <f t="shared" si="16"/>
        <v>1.6</v>
      </c>
      <c r="BT17" s="12">
        <f t="shared" si="16"/>
        <v>-0.39999999999999991</v>
      </c>
      <c r="BU17" s="12">
        <f t="shared" si="16"/>
        <v>0.60000000000000009</v>
      </c>
      <c r="BV17" s="12">
        <f t="shared" si="16"/>
        <v>-1.4</v>
      </c>
      <c r="BW17" s="21">
        <f t="shared" si="16"/>
        <v>1.6</v>
      </c>
    </row>
    <row r="18" spans="2:75" x14ac:dyDescent="0.25">
      <c r="B18" s="690"/>
      <c r="C18" s="125" t="s">
        <v>18</v>
      </c>
      <c r="D18" s="120">
        <f t="shared" ref="D18:O18" si="17">D8-$I$11</f>
        <v>117.26666666666667</v>
      </c>
      <c r="E18" s="120">
        <f t="shared" si="17"/>
        <v>116.26666666666667</v>
      </c>
      <c r="F18" s="120">
        <f t="shared" si="17"/>
        <v>13.266666666666666</v>
      </c>
      <c r="G18" s="120">
        <f t="shared" si="17"/>
        <v>14.266666666666666</v>
      </c>
      <c r="H18" s="120">
        <f t="shared" si="17"/>
        <v>36.266666666666666</v>
      </c>
      <c r="I18" s="120">
        <f t="shared" si="17"/>
        <v>36.266666666666666</v>
      </c>
      <c r="J18" s="120">
        <f t="shared" si="17"/>
        <v>22.266666666666666</v>
      </c>
      <c r="K18" s="120">
        <f t="shared" si="17"/>
        <v>23.266666666666666</v>
      </c>
      <c r="L18" s="120">
        <f t="shared" si="17"/>
        <v>1.2666666666666666</v>
      </c>
      <c r="M18" s="120">
        <f t="shared" si="17"/>
        <v>-1.7333333333333334</v>
      </c>
      <c r="N18" s="120">
        <f t="shared" si="17"/>
        <v>-1.7333333333333334</v>
      </c>
      <c r="O18" s="127">
        <f t="shared" si="17"/>
        <v>1.2666666666666666</v>
      </c>
      <c r="Q18" s="690"/>
      <c r="R18" s="125" t="s">
        <v>18</v>
      </c>
      <c r="S18" s="12">
        <f t="shared" si="6"/>
        <v>169.64285714285714</v>
      </c>
      <c r="T18" s="12">
        <f t="shared" si="6"/>
        <v>181.64285714285714</v>
      </c>
      <c r="U18" s="12">
        <f t="shared" si="6"/>
        <v>79.642857142857139</v>
      </c>
      <c r="V18" s="12">
        <f t="shared" si="6"/>
        <v>71.642857142857139</v>
      </c>
      <c r="W18" s="12">
        <f t="shared" si="6"/>
        <v>96.642857142857139</v>
      </c>
      <c r="X18" s="12">
        <f t="shared" si="6"/>
        <v>94.642857142857139</v>
      </c>
      <c r="Y18" s="12">
        <f t="shared" si="6"/>
        <v>84.642857142857139</v>
      </c>
      <c r="Z18" s="12">
        <f t="shared" si="6"/>
        <v>80.642857142857139</v>
      </c>
      <c r="AA18" s="12">
        <f t="shared" si="6"/>
        <v>109.64285714285714</v>
      </c>
      <c r="AB18" s="12">
        <f t="shared" si="6"/>
        <v>109.64285714285714</v>
      </c>
      <c r="AC18" s="12">
        <f t="shared" si="6"/>
        <v>74.642857142857139</v>
      </c>
      <c r="AD18" s="12">
        <f t="shared" si="6"/>
        <v>75.642857142857139</v>
      </c>
      <c r="AF18" s="690"/>
      <c r="AG18" s="10" t="s">
        <v>18</v>
      </c>
      <c r="AH18" s="121">
        <f t="shared" si="7"/>
        <v>168</v>
      </c>
      <c r="AI18" s="121">
        <f t="shared" si="7"/>
        <v>222</v>
      </c>
      <c r="AJ18" s="121">
        <f t="shared" si="7"/>
        <v>13</v>
      </c>
      <c r="AK18" s="121">
        <f t="shared" si="7"/>
        <v>24</v>
      </c>
      <c r="AL18" s="121">
        <f t="shared" si="7"/>
        <v>31</v>
      </c>
      <c r="AM18" s="121">
        <f t="shared" si="7"/>
        <v>39</v>
      </c>
      <c r="AN18" s="121">
        <f t="shared" si="7"/>
        <v>34</v>
      </c>
      <c r="AO18" s="121">
        <f t="shared" si="7"/>
        <v>25</v>
      </c>
      <c r="AP18" s="121">
        <f t="shared" si="7"/>
        <v>16</v>
      </c>
      <c r="AQ18" s="121">
        <f t="shared" si="7"/>
        <v>-3</v>
      </c>
      <c r="AR18" s="121">
        <f t="shared" si="7"/>
        <v>2</v>
      </c>
      <c r="AS18" s="325">
        <f t="shared" si="7"/>
        <v>-3</v>
      </c>
      <c r="AU18" s="690"/>
      <c r="AV18" s="10" t="s">
        <v>18</v>
      </c>
      <c r="AW18" s="12">
        <f t="shared" si="8"/>
        <v>134.21153846153845</v>
      </c>
      <c r="AX18" s="12">
        <f t="shared" si="8"/>
        <v>116.21153846153847</v>
      </c>
      <c r="AY18" s="12">
        <f t="shared" si="8"/>
        <v>2.2115384615384617</v>
      </c>
      <c r="AZ18" s="12">
        <f t="shared" si="8"/>
        <v>-1.7884615384615385</v>
      </c>
      <c r="BA18" s="12">
        <f t="shared" si="8"/>
        <v>-1.7884615384615385</v>
      </c>
      <c r="BB18" s="12">
        <f t="shared" si="8"/>
        <v>4.2115384615384617</v>
      </c>
      <c r="BC18" s="12">
        <f t="shared" si="8"/>
        <v>0.21153846153846145</v>
      </c>
      <c r="BD18" s="12">
        <f t="shared" si="8"/>
        <v>-1.7884615384615385</v>
      </c>
      <c r="BE18" s="12">
        <f t="shared" si="8"/>
        <v>4.2115384615384617</v>
      </c>
      <c r="BF18" s="12">
        <f t="shared" si="8"/>
        <v>3.2115384615384617</v>
      </c>
      <c r="BG18" s="12">
        <f t="shared" si="8"/>
        <v>-1.7884615384615385</v>
      </c>
      <c r="BH18" s="21">
        <f t="shared" si="8"/>
        <v>2.2115384615384617</v>
      </c>
      <c r="BJ18" s="690"/>
      <c r="BK18" s="10" t="s">
        <v>18</v>
      </c>
      <c r="BL18" s="12">
        <f t="shared" si="9"/>
        <v>232.6</v>
      </c>
      <c r="BM18" s="12">
        <f t="shared" ref="BM18:BW18" si="18">BM8-$BQ$11</f>
        <v>230.6</v>
      </c>
      <c r="BN18" s="12">
        <f t="shared" si="18"/>
        <v>-2.4</v>
      </c>
      <c r="BO18" s="12">
        <f t="shared" si="18"/>
        <v>-0.39999999999999991</v>
      </c>
      <c r="BP18" s="12">
        <f t="shared" si="18"/>
        <v>-2.4</v>
      </c>
      <c r="BQ18" s="12">
        <f t="shared" si="18"/>
        <v>-0.39999999999999991</v>
      </c>
      <c r="BR18" s="12">
        <f t="shared" si="18"/>
        <v>-2.4</v>
      </c>
      <c r="BS18" s="12">
        <f t="shared" si="18"/>
        <v>1.6</v>
      </c>
      <c r="BT18" s="12">
        <f t="shared" si="18"/>
        <v>0.60000000000000009</v>
      </c>
      <c r="BU18" s="12">
        <f t="shared" si="18"/>
        <v>-0.39999999999999991</v>
      </c>
      <c r="BV18" s="12">
        <f t="shared" si="18"/>
        <v>0.60000000000000009</v>
      </c>
      <c r="BW18" s="21">
        <f t="shared" si="18"/>
        <v>3.6</v>
      </c>
    </row>
    <row r="19" spans="2:75" x14ac:dyDescent="0.25">
      <c r="B19" s="690"/>
      <c r="C19" s="125" t="s">
        <v>19</v>
      </c>
      <c r="D19" s="120">
        <f t="shared" ref="D19:O19" si="19">D9-$I$11</f>
        <v>30.266666666666666</v>
      </c>
      <c r="E19" s="120">
        <f t="shared" si="19"/>
        <v>39.266666666666666</v>
      </c>
      <c r="F19" s="120">
        <f t="shared" si="19"/>
        <v>9.2666666666666657</v>
      </c>
      <c r="G19" s="120">
        <f t="shared" si="19"/>
        <v>15.266666666666666</v>
      </c>
      <c r="H19" s="120">
        <f t="shared" si="19"/>
        <v>30.266666666666666</v>
      </c>
      <c r="I19" s="120">
        <f t="shared" si="19"/>
        <v>33.266666666666666</v>
      </c>
      <c r="J19" s="120">
        <f t="shared" si="19"/>
        <v>25.266666666666666</v>
      </c>
      <c r="K19" s="120">
        <f t="shared" si="19"/>
        <v>22.266666666666666</v>
      </c>
      <c r="L19" s="120">
        <f t="shared" si="19"/>
        <v>-1.7333333333333334</v>
      </c>
      <c r="M19" s="120">
        <f t="shared" si="19"/>
        <v>-0.73333333333333339</v>
      </c>
      <c r="N19" s="120">
        <f t="shared" si="19"/>
        <v>0.26666666666666661</v>
      </c>
      <c r="O19" s="127">
        <f t="shared" si="19"/>
        <v>0.26666666666666661</v>
      </c>
      <c r="Q19" s="690"/>
      <c r="R19" s="125" t="s">
        <v>19</v>
      </c>
      <c r="S19" s="12">
        <f t="shared" si="6"/>
        <v>0.64285714285714279</v>
      </c>
      <c r="T19" s="12">
        <f t="shared" si="6"/>
        <v>-0.35714285714285721</v>
      </c>
      <c r="U19" s="12">
        <f t="shared" si="6"/>
        <v>95.642857142857139</v>
      </c>
      <c r="V19" s="12">
        <f t="shared" si="6"/>
        <v>100.64285714285714</v>
      </c>
      <c r="W19" s="12">
        <f t="shared" si="6"/>
        <v>82.642857142857139</v>
      </c>
      <c r="X19" s="12">
        <f t="shared" si="6"/>
        <v>84.642857142857139</v>
      </c>
      <c r="Y19" s="12">
        <f t="shared" si="6"/>
        <v>107.64285714285714</v>
      </c>
      <c r="Z19" s="12">
        <f t="shared" si="6"/>
        <v>101.64285714285714</v>
      </c>
      <c r="AA19" s="12">
        <f t="shared" si="6"/>
        <v>85.642857142857139</v>
      </c>
      <c r="AB19" s="12">
        <f t="shared" si="6"/>
        <v>83.642857142857139</v>
      </c>
      <c r="AC19" s="12">
        <f t="shared" si="6"/>
        <v>82.642857142857139</v>
      </c>
      <c r="AD19" s="12">
        <f t="shared" si="6"/>
        <v>84.642857142857139</v>
      </c>
      <c r="AF19" s="690"/>
      <c r="AG19" s="10" t="s">
        <v>19</v>
      </c>
      <c r="AH19" s="121">
        <f t="shared" si="7"/>
        <v>-2</v>
      </c>
      <c r="AI19" s="121">
        <f t="shared" si="7"/>
        <v>1</v>
      </c>
      <c r="AJ19" s="121">
        <f t="shared" si="7"/>
        <v>49</v>
      </c>
      <c r="AK19" s="121">
        <f t="shared" si="7"/>
        <v>28</v>
      </c>
      <c r="AL19" s="121">
        <f t="shared" si="7"/>
        <v>23</v>
      </c>
      <c r="AM19" s="121">
        <f t="shared" si="7"/>
        <v>38</v>
      </c>
      <c r="AN19" s="121">
        <f t="shared" si="7"/>
        <v>33</v>
      </c>
      <c r="AO19" s="121">
        <f t="shared" si="7"/>
        <v>36</v>
      </c>
      <c r="AP19" s="121">
        <f t="shared" si="7"/>
        <v>33</v>
      </c>
      <c r="AQ19" s="121">
        <f t="shared" si="7"/>
        <v>38</v>
      </c>
      <c r="AR19" s="121">
        <f t="shared" si="7"/>
        <v>23</v>
      </c>
      <c r="AS19" s="325">
        <f t="shared" si="7"/>
        <v>-3</v>
      </c>
      <c r="AU19" s="690"/>
      <c r="AV19" s="10" t="s">
        <v>19</v>
      </c>
      <c r="AW19" s="12">
        <f t="shared" si="8"/>
        <v>59.21153846153846</v>
      </c>
      <c r="AX19" s="12">
        <f t="shared" si="8"/>
        <v>53.21153846153846</v>
      </c>
      <c r="AY19" s="12">
        <f t="shared" si="8"/>
        <v>0.21153846153846145</v>
      </c>
      <c r="AZ19" s="12">
        <f t="shared" si="8"/>
        <v>-1.7884615384615385</v>
      </c>
      <c r="BA19" s="12">
        <f t="shared" si="8"/>
        <v>-1.7884615384615385</v>
      </c>
      <c r="BB19" s="12">
        <f t="shared" si="8"/>
        <v>-1.7884615384615385</v>
      </c>
      <c r="BC19" s="12">
        <f t="shared" si="8"/>
        <v>3.2115384615384617</v>
      </c>
      <c r="BD19" s="12">
        <f t="shared" si="8"/>
        <v>-1.7884615384615385</v>
      </c>
      <c r="BE19" s="12">
        <f t="shared" si="8"/>
        <v>-1.7884615384615385</v>
      </c>
      <c r="BF19" s="12">
        <f t="shared" si="8"/>
        <v>-1.7884615384615385</v>
      </c>
      <c r="BG19" s="12">
        <f t="shared" si="8"/>
        <v>-0.78846153846153855</v>
      </c>
      <c r="BH19" s="21">
        <f t="shared" si="8"/>
        <v>-0.78846153846153855</v>
      </c>
      <c r="BJ19" s="690"/>
      <c r="BK19" s="10" t="s">
        <v>19</v>
      </c>
      <c r="BL19" s="12">
        <f t="shared" si="9"/>
        <v>1.6</v>
      </c>
      <c r="BM19" s="12">
        <f t="shared" ref="BM19:BW19" si="20">BM9-$BQ$11</f>
        <v>-2.4</v>
      </c>
      <c r="BN19" s="12">
        <f t="shared" si="20"/>
        <v>0.60000000000000009</v>
      </c>
      <c r="BO19" s="12">
        <f t="shared" si="20"/>
        <v>0.60000000000000009</v>
      </c>
      <c r="BP19" s="12">
        <f t="shared" si="20"/>
        <v>-0.39999999999999991</v>
      </c>
      <c r="BQ19" s="12">
        <f t="shared" si="20"/>
        <v>2.6</v>
      </c>
      <c r="BR19" s="12">
        <f t="shared" si="20"/>
        <v>0.60000000000000009</v>
      </c>
      <c r="BS19" s="12">
        <f t="shared" si="20"/>
        <v>0.60000000000000009</v>
      </c>
      <c r="BT19" s="12">
        <f t="shared" si="20"/>
        <v>1.6</v>
      </c>
      <c r="BU19" s="12">
        <f t="shared" si="20"/>
        <v>0.60000000000000009</v>
      </c>
      <c r="BV19" s="12">
        <f t="shared" si="20"/>
        <v>1.6</v>
      </c>
      <c r="BW19" s="21">
        <f t="shared" si="20"/>
        <v>-1.4</v>
      </c>
    </row>
    <row r="20" spans="2:75" ht="15.75" thickBot="1" x14ac:dyDescent="0.3">
      <c r="B20" s="691"/>
      <c r="C20" s="128" t="s">
        <v>20</v>
      </c>
      <c r="D20" s="129">
        <f t="shared" ref="D20:O20" si="21">D10-$I$11</f>
        <v>35.266666666666666</v>
      </c>
      <c r="E20" s="129">
        <f t="shared" si="21"/>
        <v>36.266666666666666</v>
      </c>
      <c r="F20" s="129">
        <f t="shared" si="21"/>
        <v>30.266666666666666</v>
      </c>
      <c r="G20" s="129">
        <f t="shared" si="21"/>
        <v>31.266666666666666</v>
      </c>
      <c r="H20" s="129">
        <f t="shared" si="21"/>
        <v>31.266666666666666</v>
      </c>
      <c r="I20" s="129">
        <f t="shared" si="21"/>
        <v>31.266666666666666</v>
      </c>
      <c r="J20" s="129">
        <f t="shared" si="21"/>
        <v>40.266666666666666</v>
      </c>
      <c r="K20" s="129">
        <f t="shared" si="21"/>
        <v>31.266666666666666</v>
      </c>
      <c r="L20" s="129">
        <f t="shared" si="21"/>
        <v>0.26666666666666661</v>
      </c>
      <c r="M20" s="129">
        <f t="shared" si="21"/>
        <v>1.2666666666666666</v>
      </c>
      <c r="N20" s="129">
        <f t="shared" si="21"/>
        <v>-1.7333333333333334</v>
      </c>
      <c r="O20" s="130">
        <f t="shared" si="21"/>
        <v>1.2666666666666666</v>
      </c>
      <c r="Q20" s="691"/>
      <c r="R20" s="125" t="s">
        <v>20</v>
      </c>
      <c r="S20" s="12">
        <f t="shared" si="6"/>
        <v>-0.35714285714285721</v>
      </c>
      <c r="T20" s="12">
        <f t="shared" si="6"/>
        <v>1.6428571428571428</v>
      </c>
      <c r="U20" s="12">
        <f t="shared" si="6"/>
        <v>0.64285714285714279</v>
      </c>
      <c r="V20" s="12">
        <f t="shared" si="6"/>
        <v>-0.35714285714285721</v>
      </c>
      <c r="W20" s="12">
        <f t="shared" si="6"/>
        <v>-0.35714285714285721</v>
      </c>
      <c r="X20" s="12">
        <f t="shared" si="6"/>
        <v>-1.3571428571428572</v>
      </c>
      <c r="Y20" s="12">
        <f t="shared" si="6"/>
        <v>-1.3571428571428572</v>
      </c>
      <c r="Z20" s="12">
        <f t="shared" si="6"/>
        <v>2.6428571428571428</v>
      </c>
      <c r="AA20" s="12">
        <f t="shared" si="6"/>
        <v>-0.35714285714285721</v>
      </c>
      <c r="AB20" s="12">
        <f t="shared" si="6"/>
        <v>-2.3571428571428572</v>
      </c>
      <c r="AC20" s="12">
        <f t="shared" si="6"/>
        <v>0.64285714285714279</v>
      </c>
      <c r="AD20" s="12">
        <f t="shared" si="6"/>
        <v>0.64285714285714279</v>
      </c>
      <c r="AF20" s="691"/>
      <c r="AG20" s="22" t="s">
        <v>20</v>
      </c>
      <c r="AH20" s="326">
        <f t="shared" si="7"/>
        <v>0</v>
      </c>
      <c r="AI20" s="326">
        <f t="shared" si="7"/>
        <v>3</v>
      </c>
      <c r="AJ20" s="326">
        <f t="shared" si="7"/>
        <v>39</v>
      </c>
      <c r="AK20" s="326">
        <f t="shared" si="7"/>
        <v>26</v>
      </c>
      <c r="AL20" s="326">
        <f t="shared" si="7"/>
        <v>26</v>
      </c>
      <c r="AM20" s="326">
        <f t="shared" si="7"/>
        <v>27</v>
      </c>
      <c r="AN20" s="326">
        <f t="shared" si="7"/>
        <v>32</v>
      </c>
      <c r="AO20" s="326">
        <f t="shared" si="7"/>
        <v>37</v>
      </c>
      <c r="AP20" s="326">
        <f t="shared" si="7"/>
        <v>33</v>
      </c>
      <c r="AQ20" s="326">
        <f t="shared" si="7"/>
        <v>27</v>
      </c>
      <c r="AR20" s="326">
        <f t="shared" si="7"/>
        <v>17</v>
      </c>
      <c r="AS20" s="327">
        <f t="shared" si="7"/>
        <v>3</v>
      </c>
      <c r="AU20" s="691"/>
      <c r="AV20" s="22" t="s">
        <v>20</v>
      </c>
      <c r="AW20" s="24">
        <f t="shared" si="8"/>
        <v>74.211538461538467</v>
      </c>
      <c r="AX20" s="24">
        <f t="shared" si="8"/>
        <v>70.211538461538467</v>
      </c>
      <c r="AY20" s="24">
        <f t="shared" si="8"/>
        <v>-0.78846153846153855</v>
      </c>
      <c r="AZ20" s="24">
        <f t="shared" si="8"/>
        <v>2.2115384615384617</v>
      </c>
      <c r="BA20" s="24">
        <f t="shared" si="8"/>
        <v>-1.7884615384615385</v>
      </c>
      <c r="BB20" s="24">
        <f t="shared" si="8"/>
        <v>-1.7884615384615385</v>
      </c>
      <c r="BC20" s="24">
        <f t="shared" si="8"/>
        <v>-1.7884615384615385</v>
      </c>
      <c r="BD20" s="24">
        <f t="shared" si="8"/>
        <v>4.2115384615384617</v>
      </c>
      <c r="BE20" s="24">
        <f t="shared" si="8"/>
        <v>-1.7884615384615385</v>
      </c>
      <c r="BF20" s="24">
        <f t="shared" si="8"/>
        <v>-0.78846153846153855</v>
      </c>
      <c r="BG20" s="24">
        <f t="shared" si="8"/>
        <v>-1.7884615384615385</v>
      </c>
      <c r="BH20" s="25">
        <f t="shared" si="8"/>
        <v>-1.7884615384615385</v>
      </c>
      <c r="BJ20" s="691"/>
      <c r="BK20" s="22" t="s">
        <v>20</v>
      </c>
      <c r="BL20" s="24">
        <f t="shared" si="9"/>
        <v>2.6</v>
      </c>
      <c r="BM20" s="24">
        <f t="shared" ref="BM20:BW20" si="22">BM10-$BQ$11</f>
        <v>-1.4</v>
      </c>
      <c r="BN20" s="24">
        <f t="shared" si="22"/>
        <v>-2.4</v>
      </c>
      <c r="BO20" s="24">
        <f t="shared" si="22"/>
        <v>1.6</v>
      </c>
      <c r="BP20" s="24">
        <f t="shared" si="22"/>
        <v>1.6</v>
      </c>
      <c r="BQ20" s="24">
        <f t="shared" si="22"/>
        <v>-2.4</v>
      </c>
      <c r="BR20" s="24">
        <f t="shared" si="22"/>
        <v>2.6</v>
      </c>
      <c r="BS20" s="24">
        <f t="shared" si="22"/>
        <v>-2.4</v>
      </c>
      <c r="BT20" s="24">
        <f t="shared" si="22"/>
        <v>-1.4</v>
      </c>
      <c r="BU20" s="24">
        <f t="shared" si="22"/>
        <v>-2.4</v>
      </c>
      <c r="BV20" s="24">
        <f t="shared" si="22"/>
        <v>-2.4</v>
      </c>
      <c r="BW20" s="25">
        <f t="shared" si="22"/>
        <v>-1.4</v>
      </c>
    </row>
    <row r="21" spans="2:75" ht="15.75" customHeight="1" x14ac:dyDescent="0.25">
      <c r="B21" s="689" t="s">
        <v>89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Q21" s="689" t="s">
        <v>89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F21" s="689" t="s">
        <v>89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  <c r="AU21" s="736" t="s">
        <v>89</v>
      </c>
      <c r="AV21" s="375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9"/>
      <c r="BJ21" s="736" t="s">
        <v>89</v>
      </c>
      <c r="BK21" s="375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2:75" x14ac:dyDescent="0.25">
      <c r="B22" s="690"/>
      <c r="O22" s="4"/>
      <c r="Q22" s="690"/>
      <c r="AD22" s="4"/>
      <c r="AF22" s="690"/>
      <c r="AS22" s="4"/>
      <c r="AU22" s="736"/>
      <c r="AV22" s="80"/>
      <c r="BH22" s="4"/>
      <c r="BJ22" s="736"/>
      <c r="BK22" s="80"/>
      <c r="BW22" s="4"/>
    </row>
    <row r="23" spans="2:75" x14ac:dyDescent="0.25">
      <c r="B23" s="690"/>
      <c r="O23" s="4"/>
      <c r="Q23" s="690"/>
      <c r="AD23" s="4"/>
      <c r="AF23" s="690"/>
      <c r="AS23" s="4"/>
      <c r="AU23" s="736"/>
      <c r="AV23" s="80"/>
      <c r="BH23" s="4"/>
      <c r="BJ23" s="736"/>
      <c r="BK23" s="80"/>
      <c r="BW23" s="4"/>
    </row>
    <row r="24" spans="2:75" x14ac:dyDescent="0.25">
      <c r="B24" s="690"/>
      <c r="C24" s="148">
        <f>AVERAGE(D13:E13)</f>
        <v>0.26666666666666661</v>
      </c>
      <c r="D24" s="133">
        <v>0</v>
      </c>
      <c r="O24" s="4"/>
      <c r="Q24" s="690"/>
      <c r="R24" s="148">
        <f>AVERAGE(S13:T13)</f>
        <v>1.1428571428571428</v>
      </c>
      <c r="S24" s="133">
        <v>0</v>
      </c>
      <c r="AD24" s="4"/>
      <c r="AF24" s="690"/>
      <c r="AG24" s="328">
        <f>AVERAGE(AH13:AI13)</f>
        <v>0.5</v>
      </c>
      <c r="AH24" s="133">
        <v>0</v>
      </c>
      <c r="AS24" s="4"/>
      <c r="AU24" s="736"/>
      <c r="AV24" s="412">
        <f>AVERAGE(AW13:AX13)</f>
        <v>0.71153846153846145</v>
      </c>
      <c r="AW24" s="133">
        <v>0</v>
      </c>
      <c r="BH24" s="4"/>
      <c r="BJ24" s="736"/>
      <c r="BK24" s="412">
        <f>AVERAGE(BL13:BM13)</f>
        <v>-1.9</v>
      </c>
      <c r="BL24" s="133">
        <v>0</v>
      </c>
      <c r="BW24" s="4"/>
    </row>
    <row r="25" spans="2:75" x14ac:dyDescent="0.25">
      <c r="B25" s="690"/>
      <c r="C25" s="131">
        <f>AVERAGE(D14:E14)</f>
        <v>12.766666666666666</v>
      </c>
      <c r="D25" s="132">
        <v>200</v>
      </c>
      <c r="O25" s="4"/>
      <c r="Q25" s="690"/>
      <c r="R25" s="131">
        <f>AVERAGE(S14:T14)</f>
        <v>22.642857142857142</v>
      </c>
      <c r="S25" s="132">
        <v>200</v>
      </c>
      <c r="AD25" s="4"/>
      <c r="AF25" s="690"/>
      <c r="AG25" s="45">
        <f>AVERAGE(AH14:AI14)</f>
        <v>18</v>
      </c>
      <c r="AH25" s="132">
        <v>200</v>
      </c>
      <c r="AS25" s="4"/>
      <c r="AU25" s="736"/>
      <c r="AV25" s="80">
        <f>AVERAGE(AW14:AX14)</f>
        <v>29.21153846153846</v>
      </c>
      <c r="AW25" s="132">
        <v>200</v>
      </c>
      <c r="BH25" s="4"/>
      <c r="BJ25" s="736"/>
      <c r="BK25" s="80">
        <f>AVERAGE(BL14:BM14)</f>
        <v>23.6</v>
      </c>
      <c r="BL25" s="132">
        <v>200</v>
      </c>
      <c r="BW25" s="4"/>
    </row>
    <row r="26" spans="2:75" x14ac:dyDescent="0.25">
      <c r="B26" s="690"/>
      <c r="C26" s="131"/>
      <c r="D26" s="132">
        <v>400</v>
      </c>
      <c r="O26" s="4"/>
      <c r="Q26" s="690"/>
      <c r="R26" s="131">
        <f>AVERAGE(S15:T15)</f>
        <v>38.142857142857146</v>
      </c>
      <c r="S26" s="132">
        <v>400</v>
      </c>
      <c r="AD26" s="4"/>
      <c r="AF26" s="690"/>
      <c r="AG26" s="45">
        <f>AVERAGE(AH15:AI15)</f>
        <v>42.5</v>
      </c>
      <c r="AH26" s="132">
        <v>400</v>
      </c>
      <c r="AS26" s="4"/>
      <c r="AU26" s="736"/>
      <c r="AV26" s="80">
        <f>AVERAGE(AW5:AX5)</f>
        <v>67.5</v>
      </c>
      <c r="AW26" s="132">
        <v>400</v>
      </c>
      <c r="BH26" s="4"/>
      <c r="BJ26" s="736"/>
      <c r="BK26" s="80">
        <f>AVERAGE(BL5:BM5)</f>
        <v>51.5</v>
      </c>
      <c r="BL26" s="132">
        <v>400</v>
      </c>
      <c r="BW26" s="4"/>
    </row>
    <row r="27" spans="2:75" x14ac:dyDescent="0.25">
      <c r="B27" s="690"/>
      <c r="C27" s="131">
        <f>AVERAGE(D16:E16)</f>
        <v>41.766666666666666</v>
      </c>
      <c r="D27" s="132">
        <v>800</v>
      </c>
      <c r="O27" s="4"/>
      <c r="Q27" s="690"/>
      <c r="R27" s="131">
        <f>AVERAGE(S16:T16)</f>
        <v>83.642857142857139</v>
      </c>
      <c r="S27" s="132">
        <v>800</v>
      </c>
      <c r="AD27" s="4"/>
      <c r="AF27" s="690"/>
      <c r="AG27" s="45">
        <f>AVERAGE(AH16:AI16)</f>
        <v>89</v>
      </c>
      <c r="AH27" s="132">
        <v>800</v>
      </c>
      <c r="AS27" s="4"/>
      <c r="AU27" s="736"/>
      <c r="AV27" s="80">
        <f>AVERAGE(AW6:AX6)</f>
        <v>129.5</v>
      </c>
      <c r="AW27" s="132">
        <v>800</v>
      </c>
      <c r="BH27" s="4"/>
      <c r="BJ27" s="736"/>
      <c r="BK27" s="80">
        <f>AVERAGE(BL6:BM6)</f>
        <v>95.5</v>
      </c>
      <c r="BL27" s="132">
        <v>800</v>
      </c>
      <c r="BW27" s="4"/>
    </row>
    <row r="28" spans="2:75" x14ac:dyDescent="0.25">
      <c r="B28" s="690"/>
      <c r="C28" s="131">
        <f>AVERAGE(D17:E17)</f>
        <v>72.266666666666666</v>
      </c>
      <c r="D28" s="132">
        <v>1600</v>
      </c>
      <c r="O28" s="4"/>
      <c r="Q28" s="690"/>
      <c r="R28" s="131">
        <f>AVERAGE(S17:T17)</f>
        <v>155.64285714285714</v>
      </c>
      <c r="S28" s="132">
        <v>1600</v>
      </c>
      <c r="AD28" s="4"/>
      <c r="AF28" s="690"/>
      <c r="AG28" s="45">
        <f>AVERAGE(AH17:AI17)</f>
        <v>169.5</v>
      </c>
      <c r="AH28" s="132">
        <v>1600</v>
      </c>
      <c r="AS28" s="4"/>
      <c r="AU28" s="736"/>
      <c r="AV28" s="80"/>
      <c r="AW28" s="132">
        <v>1600</v>
      </c>
      <c r="BH28" s="4"/>
      <c r="BJ28" s="736"/>
      <c r="BK28" s="80">
        <f t="shared" ref="BK28" si="23">AVERAGE(BL7:BM7)</f>
        <v>186.5</v>
      </c>
      <c r="BL28" s="132">
        <v>1600</v>
      </c>
      <c r="BW28" s="4"/>
    </row>
    <row r="29" spans="2:75" x14ac:dyDescent="0.25">
      <c r="B29" s="690"/>
      <c r="C29" s="149">
        <f>AVERAGE(D18:E18)</f>
        <v>116.76666666666667</v>
      </c>
      <c r="D29" s="134">
        <v>2500</v>
      </c>
      <c r="O29" s="4"/>
      <c r="Q29" s="690"/>
      <c r="R29" s="149"/>
      <c r="S29" s="134">
        <v>2500</v>
      </c>
      <c r="AD29" s="4"/>
      <c r="AF29" s="690"/>
      <c r="AG29" s="296"/>
      <c r="AH29" s="134">
        <v>2500</v>
      </c>
      <c r="AS29" s="4"/>
      <c r="AU29" s="736"/>
      <c r="AV29" s="257"/>
      <c r="AW29" s="134">
        <v>2500</v>
      </c>
      <c r="BH29" s="4"/>
      <c r="BJ29" s="736"/>
      <c r="BK29" s="257"/>
      <c r="BL29" s="134">
        <v>2500</v>
      </c>
      <c r="BW29" s="4"/>
    </row>
    <row r="30" spans="2:75" x14ac:dyDescent="0.25">
      <c r="B30" s="690"/>
      <c r="O30" s="4"/>
      <c r="Q30" s="690"/>
      <c r="AD30" s="4"/>
      <c r="AF30" s="690"/>
      <c r="AS30" s="4"/>
      <c r="AU30" s="736"/>
      <c r="AV30" s="80"/>
      <c r="BH30" s="4"/>
      <c r="BJ30" s="736"/>
      <c r="BK30" s="80"/>
      <c r="BW30" s="4"/>
    </row>
    <row r="31" spans="2:75" x14ac:dyDescent="0.25">
      <c r="B31" s="690"/>
      <c r="O31" s="4"/>
      <c r="Q31" s="690"/>
      <c r="AD31" s="4"/>
      <c r="AF31" s="690"/>
      <c r="AS31" s="4"/>
      <c r="AU31" s="736"/>
      <c r="AV31" s="80"/>
      <c r="BH31" s="4"/>
      <c r="BJ31" s="736"/>
      <c r="BK31" s="80"/>
      <c r="BW31" s="4"/>
    </row>
    <row r="32" spans="2:75" x14ac:dyDescent="0.25">
      <c r="B32" s="690"/>
      <c r="C32" s="150" t="s">
        <v>90</v>
      </c>
      <c r="D32" s="133">
        <v>21.952999999999999</v>
      </c>
      <c r="O32" s="4"/>
      <c r="Q32" s="690"/>
      <c r="R32" s="150" t="s">
        <v>90</v>
      </c>
      <c r="S32" s="133">
        <v>10.303000000000001</v>
      </c>
      <c r="AD32" s="4"/>
      <c r="AF32" s="690"/>
      <c r="AG32" s="268" t="s">
        <v>90</v>
      </c>
      <c r="AH32" s="133">
        <v>9.3271999999999995</v>
      </c>
      <c r="AS32" s="4"/>
      <c r="AU32" s="736"/>
      <c r="AV32" s="412" t="s">
        <v>90</v>
      </c>
      <c r="AW32" s="133">
        <v>6.1265999999999998</v>
      </c>
      <c r="BH32" s="4"/>
      <c r="BJ32" s="736"/>
      <c r="BK32" s="412" t="s">
        <v>90</v>
      </c>
      <c r="BL32" s="133">
        <v>8.5458999999999996</v>
      </c>
      <c r="BW32" s="4"/>
    </row>
    <row r="33" spans="2:75" x14ac:dyDescent="0.25">
      <c r="B33" s="690"/>
      <c r="C33" s="151" t="s">
        <v>91</v>
      </c>
      <c r="D33" s="134">
        <v>-50.575000000000003</v>
      </c>
      <c r="O33" s="4"/>
      <c r="Q33" s="690"/>
      <c r="R33" s="151" t="s">
        <v>91</v>
      </c>
      <c r="S33" s="134">
        <v>-20.701000000000001</v>
      </c>
      <c r="AD33" s="4"/>
      <c r="AF33" s="690"/>
      <c r="AG33" s="162" t="s">
        <v>91</v>
      </c>
      <c r="AH33" s="134">
        <v>3.9939</v>
      </c>
      <c r="AS33" s="4"/>
      <c r="AU33" s="736"/>
      <c r="AV33" s="257" t="s">
        <v>91</v>
      </c>
      <c r="AW33" s="134">
        <v>2.4321000000000002</v>
      </c>
      <c r="BH33" s="4"/>
      <c r="BJ33" s="736"/>
      <c r="BK33" s="257" t="s">
        <v>91</v>
      </c>
      <c r="BL33" s="134">
        <v>-7.0987</v>
      </c>
      <c r="BW33" s="4"/>
    </row>
    <row r="34" spans="2:75" x14ac:dyDescent="0.25">
      <c r="B34" s="690"/>
      <c r="O34" s="4"/>
      <c r="Q34" s="690"/>
      <c r="AD34" s="4"/>
      <c r="AF34" s="690"/>
      <c r="AS34" s="4"/>
      <c r="AU34" s="736"/>
      <c r="AV34" s="80"/>
      <c r="BH34" s="4"/>
      <c r="BJ34" s="736"/>
      <c r="BK34" s="80"/>
      <c r="BW34" s="4"/>
    </row>
    <row r="35" spans="2:75" ht="15.75" thickBot="1" x14ac:dyDescent="0.3">
      <c r="B35" s="691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Q35" s="691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F35" s="69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7"/>
      <c r="AU35" s="737"/>
      <c r="AV35" s="81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7"/>
      <c r="BJ35" s="737"/>
      <c r="BK35" s="81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7"/>
    </row>
    <row r="36" spans="2:75" ht="30" customHeight="1" x14ac:dyDescent="0.25">
      <c r="B36" s="689" t="s">
        <v>141</v>
      </c>
      <c r="C36" s="126"/>
      <c r="D36" s="19">
        <v>1</v>
      </c>
      <c r="E36" s="19">
        <v>2</v>
      </c>
      <c r="F36" s="19">
        <v>3</v>
      </c>
      <c r="G36" s="19">
        <v>4</v>
      </c>
      <c r="H36" s="19">
        <v>5</v>
      </c>
      <c r="I36" s="19">
        <v>6</v>
      </c>
      <c r="J36" s="19">
        <v>7</v>
      </c>
      <c r="K36" s="19">
        <v>8</v>
      </c>
      <c r="L36" s="19">
        <v>9</v>
      </c>
      <c r="M36" s="19">
        <v>10</v>
      </c>
      <c r="N36" s="19">
        <v>11</v>
      </c>
      <c r="O36" s="20">
        <v>12</v>
      </c>
      <c r="Q36" s="689" t="s">
        <v>141</v>
      </c>
      <c r="R36" s="231"/>
      <c r="S36" s="10">
        <v>1</v>
      </c>
      <c r="T36" s="10">
        <v>2</v>
      </c>
      <c r="U36" s="10">
        <v>3</v>
      </c>
      <c r="V36" s="10">
        <v>4</v>
      </c>
      <c r="W36" s="10">
        <v>5</v>
      </c>
      <c r="X36" s="10">
        <v>6</v>
      </c>
      <c r="Y36" s="10">
        <v>7</v>
      </c>
      <c r="Z36" s="10">
        <v>8</v>
      </c>
      <c r="AA36" s="10">
        <v>9</v>
      </c>
      <c r="AB36" s="10">
        <v>10</v>
      </c>
      <c r="AC36" s="10">
        <v>11</v>
      </c>
      <c r="AD36" s="10">
        <v>12</v>
      </c>
      <c r="AF36" s="690" t="s">
        <v>141</v>
      </c>
      <c r="AG36" s="18"/>
      <c r="AH36" s="19">
        <v>1</v>
      </c>
      <c r="AI36" s="19">
        <v>2</v>
      </c>
      <c r="AJ36" s="19">
        <v>3</v>
      </c>
      <c r="AK36" s="19">
        <v>4</v>
      </c>
      <c r="AL36" s="19">
        <v>5</v>
      </c>
      <c r="AM36" s="19">
        <v>6</v>
      </c>
      <c r="AN36" s="19">
        <v>7</v>
      </c>
      <c r="AO36" s="19">
        <v>8</v>
      </c>
      <c r="AP36" s="19">
        <v>9</v>
      </c>
      <c r="AQ36" s="19">
        <v>10</v>
      </c>
      <c r="AR36" s="19">
        <v>11</v>
      </c>
      <c r="AS36" s="20">
        <v>12</v>
      </c>
      <c r="AU36" s="735" t="s">
        <v>141</v>
      </c>
      <c r="AV36" s="407"/>
      <c r="AW36" s="19">
        <v>1</v>
      </c>
      <c r="AX36" s="19">
        <v>2</v>
      </c>
      <c r="AY36" s="19">
        <v>3</v>
      </c>
      <c r="AZ36" s="19">
        <v>4</v>
      </c>
      <c r="BA36" s="19">
        <v>5</v>
      </c>
      <c r="BB36" s="19">
        <v>6</v>
      </c>
      <c r="BC36" s="19">
        <v>7</v>
      </c>
      <c r="BD36" s="19">
        <v>8</v>
      </c>
      <c r="BE36" s="19">
        <v>9</v>
      </c>
      <c r="BF36" s="19">
        <v>10</v>
      </c>
      <c r="BG36" s="19">
        <v>11</v>
      </c>
      <c r="BH36" s="20">
        <v>12</v>
      </c>
      <c r="BJ36" s="735" t="s">
        <v>141</v>
      </c>
      <c r="BK36" s="407"/>
      <c r="BL36" s="19">
        <v>1</v>
      </c>
      <c r="BM36" s="19">
        <v>2</v>
      </c>
      <c r="BN36" s="19">
        <v>3</v>
      </c>
      <c r="BO36" s="19">
        <v>4</v>
      </c>
      <c r="BP36" s="19">
        <v>5</v>
      </c>
      <c r="BQ36" s="19">
        <v>6</v>
      </c>
      <c r="BR36" s="19">
        <v>7</v>
      </c>
      <c r="BS36" s="19">
        <v>8</v>
      </c>
      <c r="BT36" s="19">
        <v>9</v>
      </c>
      <c r="BU36" s="19">
        <v>10</v>
      </c>
      <c r="BV36" s="19">
        <v>11</v>
      </c>
      <c r="BW36" s="20">
        <v>12</v>
      </c>
    </row>
    <row r="37" spans="2:75" x14ac:dyDescent="0.25">
      <c r="B37" s="690"/>
      <c r="C37" s="125" t="s">
        <v>13</v>
      </c>
      <c r="D37" s="120">
        <f t="shared" ref="D37:M37" si="24">D13*$D$32+$D$33</f>
        <v>-0.81486666666667418</v>
      </c>
      <c r="E37" s="120">
        <f t="shared" si="24"/>
        <v>-88.626866666666672</v>
      </c>
      <c r="F37" s="121">
        <f t="shared" si="24"/>
        <v>1096.8351333333333</v>
      </c>
      <c r="G37" s="120">
        <f t="shared" si="24"/>
        <v>1030.9761333333333</v>
      </c>
      <c r="H37" s="120">
        <f t="shared" si="24"/>
        <v>613.86913333333325</v>
      </c>
      <c r="I37" s="120">
        <f t="shared" si="24"/>
        <v>811.44613333333325</v>
      </c>
      <c r="J37" s="120">
        <f t="shared" si="24"/>
        <v>504.10413333333332</v>
      </c>
      <c r="K37" s="120">
        <f t="shared" si="24"/>
        <v>438.24513333333329</v>
      </c>
      <c r="L37" s="120">
        <f t="shared" si="24"/>
        <v>701.68113333333326</v>
      </c>
      <c r="M37" s="120">
        <f t="shared" si="24"/>
        <v>657.7751333333332</v>
      </c>
      <c r="N37" s="120"/>
      <c r="O37" s="127"/>
      <c r="Q37" s="690"/>
      <c r="R37" s="125" t="s">
        <v>13</v>
      </c>
      <c r="S37" s="12">
        <f>S13*$S$32+$S$33</f>
        <v>-3.7746428571428581</v>
      </c>
      <c r="T37" s="12">
        <f t="shared" ref="T37:AD37" si="25">T13*$S$32+$S$33</f>
        <v>-14.077642857142859</v>
      </c>
      <c r="U37" s="12">
        <f t="shared" si="25"/>
        <v>1047.1313571428573</v>
      </c>
      <c r="V37" s="12">
        <f t="shared" si="25"/>
        <v>1067.7373571428573</v>
      </c>
      <c r="W37" s="12">
        <f t="shared" si="25"/>
        <v>964.70735714285718</v>
      </c>
      <c r="X37" s="12">
        <f t="shared" si="25"/>
        <v>933.79835714285718</v>
      </c>
      <c r="Y37" s="12">
        <f t="shared" si="25"/>
        <v>820.4653571428571</v>
      </c>
      <c r="Z37" s="12">
        <f t="shared" si="25"/>
        <v>748.34435714285712</v>
      </c>
      <c r="AA37" s="12">
        <f t="shared" si="25"/>
        <v>841.0713571428571</v>
      </c>
      <c r="AB37" s="12">
        <f t="shared" si="25"/>
        <v>892.5863571428572</v>
      </c>
      <c r="AC37" s="12">
        <f t="shared" si="25"/>
        <v>975.01035714285717</v>
      </c>
      <c r="AD37" s="12">
        <f t="shared" si="25"/>
        <v>892.5863571428572</v>
      </c>
      <c r="AF37" s="690"/>
      <c r="AG37" s="10" t="s">
        <v>13</v>
      </c>
      <c r="AH37" s="121"/>
      <c r="AI37" s="121"/>
      <c r="AJ37" s="121">
        <f t="shared" ref="AJ37:AS37" si="26">AJ13*$AH$32+$AH$33</f>
        <v>377.08189999999996</v>
      </c>
      <c r="AK37" s="121">
        <f t="shared" si="26"/>
        <v>274.48269999999997</v>
      </c>
      <c r="AL37" s="121">
        <f t="shared" si="26"/>
        <v>255.82829999999998</v>
      </c>
      <c r="AM37" s="121">
        <f t="shared" si="26"/>
        <v>339.7731</v>
      </c>
      <c r="AN37" s="121">
        <f t="shared" si="26"/>
        <v>386.40909999999997</v>
      </c>
      <c r="AO37" s="121">
        <f t="shared" si="26"/>
        <v>302.46429999999998</v>
      </c>
      <c r="AP37" s="121">
        <f t="shared" si="26"/>
        <v>283.80989999999997</v>
      </c>
      <c r="AQ37" s="121">
        <f t="shared" si="26"/>
        <v>302.46429999999998</v>
      </c>
      <c r="AR37" s="121">
        <f t="shared" si="26"/>
        <v>451.6995</v>
      </c>
      <c r="AS37" s="121">
        <f t="shared" si="26"/>
        <v>227.8467</v>
      </c>
      <c r="AU37" s="736"/>
      <c r="AV37" s="408" t="s">
        <v>13</v>
      </c>
      <c r="AW37" s="121"/>
      <c r="AX37" s="121"/>
      <c r="AY37" s="121">
        <f t="shared" ref="AY37:BD37" si="27">AY13*$AW$32+$AW$33</f>
        <v>193.65271153846152</v>
      </c>
      <c r="AZ37" s="121">
        <f t="shared" si="27"/>
        <v>187.52611153846152</v>
      </c>
      <c r="BA37" s="121">
        <f t="shared" si="27"/>
        <v>144.63991153846152</v>
      </c>
      <c r="BB37" s="121">
        <f t="shared" si="27"/>
        <v>126.26011153846153</v>
      </c>
      <c r="BC37" s="121">
        <f t="shared" si="27"/>
        <v>163.01971153846151</v>
      </c>
      <c r="BD37" s="121">
        <f t="shared" si="27"/>
        <v>144.63991153846152</v>
      </c>
      <c r="BE37" s="121"/>
      <c r="BF37" s="121"/>
      <c r="BG37" s="121"/>
      <c r="BH37" s="325"/>
      <c r="BJ37" s="736"/>
      <c r="BK37" s="408" t="s">
        <v>13</v>
      </c>
      <c r="BL37" s="121"/>
      <c r="BM37" s="121"/>
      <c r="BN37" s="121">
        <f>BN13*$BL$32+$BL$33</f>
        <v>211.67633999999998</v>
      </c>
      <c r="BO37" s="121">
        <f t="shared" ref="BO37:BU37" si="28">BO13*$BL$32+$BL$33</f>
        <v>254.40584000000001</v>
      </c>
      <c r="BP37" s="121">
        <f t="shared" si="28"/>
        <v>237.31404000000001</v>
      </c>
      <c r="BQ37" s="121">
        <f t="shared" si="28"/>
        <v>254.40584000000001</v>
      </c>
      <c r="BR37" s="121">
        <f t="shared" si="28"/>
        <v>425.32383999999996</v>
      </c>
      <c r="BS37" s="121">
        <f t="shared" si="28"/>
        <v>425.32383999999996</v>
      </c>
      <c r="BT37" s="121">
        <f t="shared" si="28"/>
        <v>442.41564</v>
      </c>
      <c r="BU37" s="121">
        <f t="shared" si="28"/>
        <v>442.41564</v>
      </c>
      <c r="BV37" s="121"/>
      <c r="BW37" s="325"/>
    </row>
    <row r="38" spans="2:75" x14ac:dyDescent="0.25">
      <c r="B38" s="690"/>
      <c r="C38" s="125" t="s">
        <v>14</v>
      </c>
      <c r="D38" s="120">
        <f t="shared" ref="D38:K44" si="29">D14*$D$32+$D$33</f>
        <v>284.57413333333329</v>
      </c>
      <c r="E38" s="120">
        <f t="shared" si="29"/>
        <v>174.80913333333331</v>
      </c>
      <c r="F38" s="120">
        <f t="shared" si="29"/>
        <v>526.05713333333324</v>
      </c>
      <c r="G38" s="120">
        <f t="shared" si="29"/>
        <v>482.15113333333335</v>
      </c>
      <c r="H38" s="120">
        <f t="shared" si="29"/>
        <v>745.58713333333321</v>
      </c>
      <c r="I38" s="120">
        <f t="shared" si="29"/>
        <v>789.49313333333328</v>
      </c>
      <c r="J38" s="120">
        <f t="shared" si="29"/>
        <v>591.91613333333328</v>
      </c>
      <c r="K38" s="120">
        <f t="shared" si="29"/>
        <v>701.68113333333326</v>
      </c>
      <c r="L38" s="120"/>
      <c r="M38" s="120"/>
      <c r="N38" s="120"/>
      <c r="O38" s="127"/>
      <c r="Q38" s="690"/>
      <c r="R38" s="125" t="s">
        <v>14</v>
      </c>
      <c r="S38" s="12">
        <f t="shared" ref="S38:AD43" si="30">S14*$S$32+$S$33</f>
        <v>233.19435714285717</v>
      </c>
      <c r="T38" s="12">
        <f t="shared" si="30"/>
        <v>191.98235714285715</v>
      </c>
      <c r="U38" s="12">
        <f t="shared" si="30"/>
        <v>975.01035714285717</v>
      </c>
      <c r="V38" s="12">
        <f t="shared" si="30"/>
        <v>810.1623571428571</v>
      </c>
      <c r="W38" s="12">
        <f t="shared" si="30"/>
        <v>604.10235714285716</v>
      </c>
      <c r="X38" s="12">
        <f t="shared" si="30"/>
        <v>624.70835714285715</v>
      </c>
      <c r="Y38" s="12">
        <f t="shared" si="30"/>
        <v>439.2543571428572</v>
      </c>
      <c r="Z38" s="12">
        <f t="shared" si="30"/>
        <v>408.34535714285721</v>
      </c>
      <c r="AA38" s="12">
        <f t="shared" si="30"/>
        <v>470.16335714285719</v>
      </c>
      <c r="AB38" s="12">
        <f t="shared" si="30"/>
        <v>398.04235714285721</v>
      </c>
      <c r="AC38" s="12">
        <f t="shared" si="30"/>
        <v>449.5573571428572</v>
      </c>
      <c r="AD38" s="12">
        <f t="shared" si="30"/>
        <v>428.9513571428572</v>
      </c>
      <c r="AF38" s="690"/>
      <c r="AG38" s="10" t="s">
        <v>14</v>
      </c>
      <c r="AH38" s="121"/>
      <c r="AI38" s="121"/>
      <c r="AJ38" s="121">
        <f t="shared" ref="AJ38:AS44" si="31">AJ14*$AH$32+$AH$33</f>
        <v>451.6995</v>
      </c>
      <c r="AK38" s="121">
        <f t="shared" si="31"/>
        <v>339.7731</v>
      </c>
      <c r="AL38" s="121">
        <f t="shared" si="31"/>
        <v>237.17389999999997</v>
      </c>
      <c r="AM38" s="121">
        <f t="shared" si="31"/>
        <v>283.80989999999997</v>
      </c>
      <c r="AN38" s="121">
        <f t="shared" si="31"/>
        <v>311.79149999999998</v>
      </c>
      <c r="AO38" s="121">
        <f t="shared" si="31"/>
        <v>302.46429999999998</v>
      </c>
      <c r="AP38" s="121">
        <f t="shared" si="31"/>
        <v>190.53789999999998</v>
      </c>
      <c r="AQ38" s="121">
        <f t="shared" si="31"/>
        <v>246.50109999999998</v>
      </c>
      <c r="AR38" s="121">
        <f t="shared" si="31"/>
        <v>423.71789999999999</v>
      </c>
      <c r="AS38" s="121">
        <f t="shared" si="31"/>
        <v>218.51949999999999</v>
      </c>
      <c r="AU38" s="736"/>
      <c r="AV38" s="408" t="s">
        <v>14</v>
      </c>
      <c r="AW38" s="121"/>
      <c r="AX38" s="121"/>
      <c r="AY38" s="121">
        <f t="shared" ref="AY38:BD41" si="32">AY14*$AW$32+$AW$33</f>
        <v>279.42511153846152</v>
      </c>
      <c r="AZ38" s="121">
        <f t="shared" si="32"/>
        <v>322.3113115384615</v>
      </c>
      <c r="BA38" s="121">
        <f t="shared" si="32"/>
        <v>150.76651153846151</v>
      </c>
      <c r="BB38" s="121">
        <f t="shared" si="32"/>
        <v>150.76651153846151</v>
      </c>
      <c r="BC38" s="121">
        <f t="shared" si="32"/>
        <v>126.26011153846153</v>
      </c>
      <c r="BD38" s="121">
        <f t="shared" si="32"/>
        <v>150.76651153846151</v>
      </c>
      <c r="BE38" s="121"/>
      <c r="BF38" s="121"/>
      <c r="BG38" s="121"/>
      <c r="BH38" s="325"/>
      <c r="BJ38" s="736"/>
      <c r="BK38" s="408" t="s">
        <v>14</v>
      </c>
      <c r="BL38" s="121"/>
      <c r="BM38" s="121"/>
      <c r="BN38" s="121">
        <f t="shared" ref="BN38:BU41" si="33">BN14*$BL$32+$BL$33</f>
        <v>288.58943999999997</v>
      </c>
      <c r="BO38" s="121">
        <f t="shared" si="33"/>
        <v>271.49763999999999</v>
      </c>
      <c r="BP38" s="121">
        <f t="shared" si="33"/>
        <v>339.86484000000002</v>
      </c>
      <c r="BQ38" s="121">
        <f t="shared" si="33"/>
        <v>322.77303999999998</v>
      </c>
      <c r="BR38" s="121">
        <f t="shared" si="33"/>
        <v>442.41564</v>
      </c>
      <c r="BS38" s="121">
        <f t="shared" si="33"/>
        <v>450.96153999999996</v>
      </c>
      <c r="BT38" s="121">
        <f t="shared" si="33"/>
        <v>433.86973999999998</v>
      </c>
      <c r="BU38" s="121">
        <f t="shared" si="33"/>
        <v>450.96153999999996</v>
      </c>
      <c r="BV38" s="121"/>
      <c r="BW38" s="325"/>
    </row>
    <row r="39" spans="2:75" x14ac:dyDescent="0.25">
      <c r="B39" s="690"/>
      <c r="C39" s="125" t="s">
        <v>15</v>
      </c>
      <c r="D39" s="120">
        <f t="shared" si="29"/>
        <v>526.05713333333324</v>
      </c>
      <c r="E39" s="120">
        <f t="shared" si="29"/>
        <v>591.91613333333328</v>
      </c>
      <c r="F39" s="120">
        <f t="shared" si="29"/>
        <v>394.33913333333334</v>
      </c>
      <c r="G39" s="120">
        <f t="shared" si="29"/>
        <v>240.66813333333334</v>
      </c>
      <c r="H39" s="120">
        <f t="shared" si="29"/>
        <v>1074.8821333333333</v>
      </c>
      <c r="I39" s="121">
        <f t="shared" si="29"/>
        <v>1030.9761333333333</v>
      </c>
      <c r="J39" s="120">
        <f t="shared" si="29"/>
        <v>526.05713333333324</v>
      </c>
      <c r="K39" s="120">
        <f t="shared" si="29"/>
        <v>701.68113333333326</v>
      </c>
      <c r="L39" s="120"/>
      <c r="M39" s="120"/>
      <c r="N39" s="120"/>
      <c r="O39" s="127"/>
      <c r="Q39" s="690"/>
      <c r="R39" s="125" t="s">
        <v>15</v>
      </c>
      <c r="S39" s="12">
        <f t="shared" si="30"/>
        <v>315.61835714285718</v>
      </c>
      <c r="T39" s="12">
        <f t="shared" si="30"/>
        <v>428.9513571428572</v>
      </c>
      <c r="U39" s="12">
        <f t="shared" si="30"/>
        <v>799.85935714285711</v>
      </c>
      <c r="V39" s="12">
        <f t="shared" si="30"/>
        <v>779.25335714285711</v>
      </c>
      <c r="W39" s="12">
        <f t="shared" si="30"/>
        <v>439.2543571428572</v>
      </c>
      <c r="X39" s="12">
        <f t="shared" si="30"/>
        <v>449.5573571428572</v>
      </c>
      <c r="Y39" s="12">
        <f t="shared" si="30"/>
        <v>284.70935714285713</v>
      </c>
      <c r="Z39" s="12">
        <f t="shared" si="30"/>
        <v>305.31535714285712</v>
      </c>
      <c r="AA39" s="12">
        <f t="shared" si="30"/>
        <v>428.9513571428572</v>
      </c>
      <c r="AB39" s="12">
        <f t="shared" si="30"/>
        <v>459.8603571428572</v>
      </c>
      <c r="AC39" s="12">
        <f t="shared" si="30"/>
        <v>274.40635714285713</v>
      </c>
      <c r="AD39" s="12">
        <f t="shared" si="30"/>
        <v>222.89135714285717</v>
      </c>
      <c r="AF39" s="690"/>
      <c r="AG39" s="10" t="s">
        <v>15</v>
      </c>
      <c r="AH39" s="121"/>
      <c r="AI39" s="121"/>
      <c r="AJ39" s="121">
        <f t="shared" si="31"/>
        <v>414.39069999999998</v>
      </c>
      <c r="AK39" s="121">
        <f t="shared" si="31"/>
        <v>470.35389999999995</v>
      </c>
      <c r="AL39" s="121">
        <f t="shared" si="31"/>
        <v>498.33549999999997</v>
      </c>
      <c r="AM39" s="121">
        <f t="shared" si="31"/>
        <v>423.71789999999999</v>
      </c>
      <c r="AN39" s="121">
        <f t="shared" si="31"/>
        <v>433.04509999999999</v>
      </c>
      <c r="AO39" s="121">
        <f t="shared" si="31"/>
        <v>22.648299999999999</v>
      </c>
      <c r="AP39" s="121"/>
      <c r="AQ39" s="121"/>
      <c r="AR39" s="121"/>
      <c r="AS39" s="121"/>
      <c r="AU39" s="736"/>
      <c r="AV39" s="408" t="s">
        <v>15</v>
      </c>
      <c r="AW39" s="121"/>
      <c r="AX39" s="121"/>
      <c r="AY39" s="121">
        <f t="shared" si="32"/>
        <v>156.89311153846151</v>
      </c>
      <c r="AZ39" s="121">
        <f t="shared" si="32"/>
        <v>150.76651153846151</v>
      </c>
      <c r="BA39" s="121">
        <f t="shared" si="32"/>
        <v>163.01971153846151</v>
      </c>
      <c r="BB39" s="121">
        <f t="shared" si="32"/>
        <v>144.63991153846152</v>
      </c>
      <c r="BC39" s="121">
        <f t="shared" si="32"/>
        <v>64.994111538461539</v>
      </c>
      <c r="BD39" s="121">
        <f t="shared" si="32"/>
        <v>52.740911538461539</v>
      </c>
      <c r="BE39" s="121"/>
      <c r="BF39" s="121"/>
      <c r="BG39" s="121"/>
      <c r="BH39" s="325"/>
      <c r="BJ39" s="736"/>
      <c r="BK39" s="408" t="s">
        <v>15</v>
      </c>
      <c r="BL39" s="121"/>
      <c r="BM39" s="121"/>
      <c r="BN39" s="121">
        <f t="shared" si="33"/>
        <v>245.85993999999999</v>
      </c>
      <c r="BO39" s="121">
        <f t="shared" si="33"/>
        <v>228.76813999999999</v>
      </c>
      <c r="BP39" s="121">
        <f t="shared" si="33"/>
        <v>356.95663999999999</v>
      </c>
      <c r="BQ39" s="121">
        <f t="shared" si="33"/>
        <v>331.31894</v>
      </c>
      <c r="BR39" s="121">
        <f t="shared" si="33"/>
        <v>408.23203999999998</v>
      </c>
      <c r="BS39" s="121">
        <f t="shared" si="33"/>
        <v>348.41073999999998</v>
      </c>
      <c r="BT39" s="121">
        <f t="shared" si="33"/>
        <v>485.14513999999997</v>
      </c>
      <c r="BU39" s="121">
        <f t="shared" si="33"/>
        <v>433.86973999999998</v>
      </c>
      <c r="BV39" s="121"/>
      <c r="BW39" s="325"/>
    </row>
    <row r="40" spans="2:75" ht="15" customHeight="1" x14ac:dyDescent="0.25">
      <c r="B40" s="690"/>
      <c r="C40" s="125" t="s">
        <v>16</v>
      </c>
      <c r="D40" s="120">
        <f t="shared" si="29"/>
        <v>899.25813333333326</v>
      </c>
      <c r="E40" s="120">
        <f t="shared" si="29"/>
        <v>833.39913333333322</v>
      </c>
      <c r="F40" s="120">
        <f t="shared" si="29"/>
        <v>416.29213333333331</v>
      </c>
      <c r="G40" s="120">
        <f t="shared" si="29"/>
        <v>438.24513333333329</v>
      </c>
      <c r="H40" s="120">
        <f t="shared" si="29"/>
        <v>767.5401333333333</v>
      </c>
      <c r="I40" s="120">
        <f t="shared" si="29"/>
        <v>789.49313333333328</v>
      </c>
      <c r="J40" s="120">
        <f t="shared" si="29"/>
        <v>526.05713333333324</v>
      </c>
      <c r="K40" s="120">
        <f t="shared" si="29"/>
        <v>679.72813333333329</v>
      </c>
      <c r="L40" s="120"/>
      <c r="M40" s="120"/>
      <c r="N40" s="120"/>
      <c r="O40" s="127"/>
      <c r="Q40" s="690"/>
      <c r="R40" s="125" t="s">
        <v>16</v>
      </c>
      <c r="S40" s="12">
        <f t="shared" si="30"/>
        <v>799.85935714285711</v>
      </c>
      <c r="T40" s="12">
        <f t="shared" si="30"/>
        <v>882.2833571428572</v>
      </c>
      <c r="U40" s="12">
        <f t="shared" si="30"/>
        <v>284.70935714285713</v>
      </c>
      <c r="V40" s="12">
        <f t="shared" si="30"/>
        <v>305.31535714285712</v>
      </c>
      <c r="W40" s="12">
        <f t="shared" si="30"/>
        <v>655.61735714285714</v>
      </c>
      <c r="X40" s="12">
        <f t="shared" si="30"/>
        <v>635.01135714285715</v>
      </c>
      <c r="Y40" s="12">
        <f t="shared" si="30"/>
        <v>707.13235714285713</v>
      </c>
      <c r="Z40" s="12">
        <f t="shared" si="30"/>
        <v>707.13235714285713</v>
      </c>
      <c r="AA40" s="12">
        <f t="shared" si="30"/>
        <v>501.07235714285719</v>
      </c>
      <c r="AB40" s="12">
        <f t="shared" si="30"/>
        <v>490.76935714285719</v>
      </c>
      <c r="AC40" s="12">
        <f t="shared" si="30"/>
        <v>593.79935714285716</v>
      </c>
      <c r="AD40" s="12">
        <f t="shared" si="30"/>
        <v>645.31435714285715</v>
      </c>
      <c r="AF40" s="690"/>
      <c r="AG40" s="10" t="s">
        <v>16</v>
      </c>
      <c r="AH40" s="121"/>
      <c r="AI40" s="121"/>
      <c r="AJ40" s="121">
        <f t="shared" si="31"/>
        <v>433.04509999999999</v>
      </c>
      <c r="AK40" s="121">
        <f t="shared" si="31"/>
        <v>451.6995</v>
      </c>
      <c r="AL40" s="121">
        <f t="shared" si="31"/>
        <v>489.00829999999996</v>
      </c>
      <c r="AM40" s="121">
        <f t="shared" si="31"/>
        <v>395.73629999999997</v>
      </c>
      <c r="AN40" s="121">
        <f t="shared" si="31"/>
        <v>414.39069999999998</v>
      </c>
      <c r="AO40" s="121">
        <f t="shared" si="31"/>
        <v>3.9939</v>
      </c>
      <c r="AP40" s="121"/>
      <c r="AQ40" s="121"/>
      <c r="AR40" s="121"/>
      <c r="AS40" s="121"/>
      <c r="AU40" s="736"/>
      <c r="AV40" s="408" t="s">
        <v>16</v>
      </c>
      <c r="AW40" s="121"/>
      <c r="AX40" s="121"/>
      <c r="AY40" s="121">
        <f t="shared" si="32"/>
        <v>267.17191153846153</v>
      </c>
      <c r="AZ40" s="121">
        <f t="shared" si="32"/>
        <v>273.29851153846153</v>
      </c>
      <c r="BA40" s="121">
        <f t="shared" si="32"/>
        <v>120.13351153846153</v>
      </c>
      <c r="BB40" s="121">
        <f t="shared" si="32"/>
        <v>126.26011153846153</v>
      </c>
      <c r="BC40" s="121">
        <f t="shared" si="32"/>
        <v>64.994111538461539</v>
      </c>
      <c r="BD40" s="121">
        <f t="shared" si="32"/>
        <v>83.373911538461542</v>
      </c>
      <c r="BE40" s="121"/>
      <c r="BF40" s="121"/>
      <c r="BG40" s="121"/>
      <c r="BH40" s="325"/>
      <c r="BJ40" s="736"/>
      <c r="BK40" s="408" t="s">
        <v>16</v>
      </c>
      <c r="BL40" s="121"/>
      <c r="BM40" s="121"/>
      <c r="BN40" s="121">
        <f t="shared" si="33"/>
        <v>271.49763999999999</v>
      </c>
      <c r="BO40" s="121">
        <f t="shared" si="33"/>
        <v>314.22713999999996</v>
      </c>
      <c r="BP40" s="121">
        <f t="shared" si="33"/>
        <v>305.68124</v>
      </c>
      <c r="BQ40" s="121">
        <f t="shared" si="33"/>
        <v>280.04354000000001</v>
      </c>
      <c r="BR40" s="121">
        <f t="shared" si="33"/>
        <v>433.86973999999998</v>
      </c>
      <c r="BS40" s="121">
        <f t="shared" si="33"/>
        <v>468.05333999999999</v>
      </c>
      <c r="BT40" s="121">
        <f t="shared" si="33"/>
        <v>596.24183999999991</v>
      </c>
      <c r="BU40" s="121">
        <f t="shared" si="33"/>
        <v>544.96643999999992</v>
      </c>
      <c r="BV40" s="121"/>
      <c r="BW40" s="325"/>
    </row>
    <row r="41" spans="2:75" x14ac:dyDescent="0.25">
      <c r="B41" s="690"/>
      <c r="C41" s="125" t="s">
        <v>17</v>
      </c>
      <c r="D41" s="121">
        <f t="shared" si="29"/>
        <v>1535.8951333333332</v>
      </c>
      <c r="E41" s="120">
        <f t="shared" si="29"/>
        <v>1535.8951333333332</v>
      </c>
      <c r="F41" s="120">
        <f t="shared" si="29"/>
        <v>196.76213333333328</v>
      </c>
      <c r="G41" s="120">
        <f t="shared" si="29"/>
        <v>218.71513333333331</v>
      </c>
      <c r="H41" s="120">
        <f t="shared" si="29"/>
        <v>701.68113333333326</v>
      </c>
      <c r="I41" s="120">
        <f t="shared" si="29"/>
        <v>701.68113333333326</v>
      </c>
      <c r="J41" s="120">
        <f t="shared" si="29"/>
        <v>196.76213333333328</v>
      </c>
      <c r="K41" s="120">
        <f t="shared" si="29"/>
        <v>526.05713333333324</v>
      </c>
      <c r="L41" s="120"/>
      <c r="M41" s="120"/>
      <c r="N41" s="120"/>
      <c r="O41" s="127"/>
      <c r="Q41" s="690"/>
      <c r="R41" s="125" t="s">
        <v>17</v>
      </c>
      <c r="S41" s="12">
        <f t="shared" si="30"/>
        <v>1593.1903571428572</v>
      </c>
      <c r="T41" s="12">
        <f t="shared" si="30"/>
        <v>1572.5843571428572</v>
      </c>
      <c r="U41" s="12">
        <f t="shared" si="30"/>
        <v>542.28435714285717</v>
      </c>
      <c r="V41" s="12">
        <f t="shared" si="30"/>
        <v>501.07235714285719</v>
      </c>
      <c r="W41" s="12">
        <f t="shared" si="30"/>
        <v>511.37535714285718</v>
      </c>
      <c r="X41" s="12">
        <f t="shared" si="30"/>
        <v>562.89035714285717</v>
      </c>
      <c r="Y41" s="12">
        <f t="shared" si="30"/>
        <v>542.28435714285717</v>
      </c>
      <c r="Z41" s="12">
        <f t="shared" si="30"/>
        <v>573.19335714285717</v>
      </c>
      <c r="AA41" s="12">
        <f t="shared" si="30"/>
        <v>583.49635714285716</v>
      </c>
      <c r="AB41" s="12">
        <f t="shared" si="30"/>
        <v>573.19335714285717</v>
      </c>
      <c r="AC41" s="12">
        <f t="shared" si="30"/>
        <v>604.10235714285716</v>
      </c>
      <c r="AD41" s="12">
        <f t="shared" si="30"/>
        <v>604.10235714285716</v>
      </c>
      <c r="AF41" s="690"/>
      <c r="AG41" s="10" t="s">
        <v>17</v>
      </c>
      <c r="AH41" s="121"/>
      <c r="AI41" s="121"/>
      <c r="AJ41" s="121">
        <f t="shared" si="31"/>
        <v>237.17389999999997</v>
      </c>
      <c r="AK41" s="121">
        <f t="shared" si="31"/>
        <v>237.17389999999997</v>
      </c>
      <c r="AL41" s="121">
        <f t="shared" si="31"/>
        <v>246.50109999999998</v>
      </c>
      <c r="AM41" s="121">
        <f t="shared" si="31"/>
        <v>321.11869999999999</v>
      </c>
      <c r="AN41" s="121">
        <f t="shared" si="31"/>
        <v>321.11869999999999</v>
      </c>
      <c r="AO41" s="121">
        <f t="shared" si="31"/>
        <v>293.13709999999998</v>
      </c>
      <c r="AP41" s="121">
        <f t="shared" si="31"/>
        <v>227.8467</v>
      </c>
      <c r="AQ41" s="121"/>
      <c r="AR41" s="121"/>
      <c r="AS41" s="121"/>
      <c r="AU41" s="736"/>
      <c r="AV41" s="408" t="s">
        <v>17</v>
      </c>
      <c r="AW41" s="121"/>
      <c r="AX41" s="121"/>
      <c r="AY41" s="121">
        <f t="shared" si="32"/>
        <v>236.53891153846152</v>
      </c>
      <c r="AZ41" s="121">
        <f t="shared" si="32"/>
        <v>230.41231153846152</v>
      </c>
      <c r="BA41" s="121">
        <f t="shared" si="32"/>
        <v>150.76651153846151</v>
      </c>
      <c r="BB41" s="121">
        <f t="shared" si="32"/>
        <v>126.26011153846153</v>
      </c>
      <c r="BC41" s="121"/>
      <c r="BD41" s="121"/>
      <c r="BE41" s="121"/>
      <c r="BF41" s="121"/>
      <c r="BG41" s="121"/>
      <c r="BH41" s="325"/>
      <c r="BJ41" s="736"/>
      <c r="BK41" s="408" t="s">
        <v>17</v>
      </c>
      <c r="BL41" s="121"/>
      <c r="BM41" s="121"/>
      <c r="BN41" s="121"/>
      <c r="BO41" s="121"/>
      <c r="BP41" s="121">
        <f t="shared" si="33"/>
        <v>297.13533999999999</v>
      </c>
      <c r="BQ41" s="121">
        <f t="shared" si="33"/>
        <v>280.04354000000001</v>
      </c>
      <c r="BR41" s="121"/>
      <c r="BS41" s="121"/>
      <c r="BT41" s="121"/>
      <c r="BU41" s="121"/>
      <c r="BV41" s="121"/>
      <c r="BW41" s="325"/>
    </row>
    <row r="42" spans="2:75" x14ac:dyDescent="0.25">
      <c r="B42" s="690"/>
      <c r="C42" s="125" t="s">
        <v>18</v>
      </c>
      <c r="D42" s="121">
        <f t="shared" si="29"/>
        <v>2523.7801333333337</v>
      </c>
      <c r="E42" s="120">
        <f t="shared" si="29"/>
        <v>2501.8271333333332</v>
      </c>
      <c r="F42" s="120">
        <f t="shared" si="29"/>
        <v>240.66813333333334</v>
      </c>
      <c r="G42" s="120">
        <f t="shared" si="29"/>
        <v>262.62113333333332</v>
      </c>
      <c r="H42" s="120">
        <f t="shared" si="29"/>
        <v>745.58713333333321</v>
      </c>
      <c r="I42" s="120">
        <f t="shared" si="29"/>
        <v>745.58713333333321</v>
      </c>
      <c r="J42" s="120">
        <f t="shared" si="29"/>
        <v>438.24513333333329</v>
      </c>
      <c r="K42" s="120">
        <f t="shared" si="29"/>
        <v>460.19813333333332</v>
      </c>
      <c r="L42" s="120"/>
      <c r="M42" s="120"/>
      <c r="N42" s="120"/>
      <c r="O42" s="127"/>
      <c r="Q42" s="690"/>
      <c r="R42" s="125" t="s">
        <v>18</v>
      </c>
      <c r="S42" s="12">
        <f t="shared" si="30"/>
        <v>1727.1293571428573</v>
      </c>
      <c r="T42" s="12">
        <f t="shared" si="30"/>
        <v>1850.7653571428573</v>
      </c>
      <c r="U42" s="12">
        <f t="shared" si="30"/>
        <v>799.85935714285711</v>
      </c>
      <c r="V42" s="12">
        <f t="shared" si="30"/>
        <v>717.43535714285713</v>
      </c>
      <c r="W42" s="12">
        <f t="shared" si="30"/>
        <v>975.01035714285717</v>
      </c>
      <c r="X42" s="12">
        <f t="shared" si="30"/>
        <v>954.40435714285718</v>
      </c>
      <c r="Y42" s="12">
        <f t="shared" si="30"/>
        <v>851.37435714285709</v>
      </c>
      <c r="Z42" s="12">
        <f t="shared" si="30"/>
        <v>810.1623571428571</v>
      </c>
      <c r="AA42" s="12">
        <f t="shared" si="30"/>
        <v>1108.9493571428573</v>
      </c>
      <c r="AB42" s="12">
        <f t="shared" si="30"/>
        <v>1108.9493571428573</v>
      </c>
      <c r="AC42" s="12">
        <f t="shared" si="30"/>
        <v>748.34435714285712</v>
      </c>
      <c r="AD42" s="12">
        <f t="shared" si="30"/>
        <v>758.64735714285712</v>
      </c>
      <c r="AF42" s="690"/>
      <c r="AG42" s="10" t="s">
        <v>18</v>
      </c>
      <c r="AH42" s="121"/>
      <c r="AI42" s="121"/>
      <c r="AJ42" s="121">
        <f t="shared" si="31"/>
        <v>125.24749999999999</v>
      </c>
      <c r="AK42" s="121">
        <f t="shared" si="31"/>
        <v>227.8467</v>
      </c>
      <c r="AL42" s="121">
        <f t="shared" si="31"/>
        <v>293.13709999999998</v>
      </c>
      <c r="AM42" s="121">
        <f t="shared" si="31"/>
        <v>367.75469999999996</v>
      </c>
      <c r="AN42" s="121">
        <f t="shared" si="31"/>
        <v>321.11869999999999</v>
      </c>
      <c r="AO42" s="121">
        <f t="shared" si="31"/>
        <v>237.17389999999997</v>
      </c>
      <c r="AP42" s="121">
        <f t="shared" si="31"/>
        <v>153.22909999999999</v>
      </c>
      <c r="AQ42" s="121"/>
      <c r="AR42" s="121"/>
      <c r="AS42" s="121"/>
      <c r="AU42" s="736"/>
      <c r="AV42" s="408" t="s">
        <v>18</v>
      </c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325"/>
      <c r="BJ42" s="736"/>
      <c r="BK42" s="408" t="s">
        <v>18</v>
      </c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325"/>
    </row>
    <row r="43" spans="2:75" x14ac:dyDescent="0.25">
      <c r="B43" s="690"/>
      <c r="C43" s="125" t="s">
        <v>19</v>
      </c>
      <c r="D43" s="120">
        <f t="shared" si="29"/>
        <v>613.86913333333325</v>
      </c>
      <c r="E43" s="120">
        <f t="shared" si="29"/>
        <v>811.44613333333325</v>
      </c>
      <c r="F43" s="120">
        <f t="shared" si="29"/>
        <v>152.85613333333333</v>
      </c>
      <c r="G43" s="120">
        <f t="shared" si="29"/>
        <v>284.57413333333329</v>
      </c>
      <c r="H43" s="120">
        <f t="shared" si="29"/>
        <v>613.86913333333325</v>
      </c>
      <c r="I43" s="120">
        <f t="shared" si="29"/>
        <v>679.72813333333329</v>
      </c>
      <c r="J43" s="120">
        <f t="shared" si="29"/>
        <v>504.10413333333332</v>
      </c>
      <c r="K43" s="120">
        <f t="shared" si="29"/>
        <v>438.24513333333329</v>
      </c>
      <c r="L43" s="120"/>
      <c r="M43" s="120"/>
      <c r="N43" s="120"/>
      <c r="O43" s="127"/>
      <c r="Q43" s="690"/>
      <c r="R43" s="125" t="s">
        <v>19</v>
      </c>
      <c r="S43" s="12"/>
      <c r="T43" s="12"/>
      <c r="U43" s="12">
        <f t="shared" si="30"/>
        <v>964.70735714285718</v>
      </c>
      <c r="V43" s="12">
        <f t="shared" si="30"/>
        <v>1016.2223571428572</v>
      </c>
      <c r="W43" s="12">
        <f t="shared" si="30"/>
        <v>830.7683571428571</v>
      </c>
      <c r="X43" s="12">
        <f t="shared" si="30"/>
        <v>851.37435714285709</v>
      </c>
      <c r="Y43" s="12">
        <f t="shared" si="30"/>
        <v>1088.3433571428573</v>
      </c>
      <c r="Z43" s="12">
        <f t="shared" si="30"/>
        <v>1026.5253571428573</v>
      </c>
      <c r="AA43" s="12">
        <f t="shared" si="30"/>
        <v>861.6773571428572</v>
      </c>
      <c r="AB43" s="12">
        <f t="shared" si="30"/>
        <v>841.0713571428571</v>
      </c>
      <c r="AC43" s="12">
        <f t="shared" si="30"/>
        <v>830.7683571428571</v>
      </c>
      <c r="AD43" s="12">
        <f t="shared" si="30"/>
        <v>851.37435714285709</v>
      </c>
      <c r="AF43" s="690"/>
      <c r="AG43" s="10" t="s">
        <v>19</v>
      </c>
      <c r="AH43" s="121"/>
      <c r="AI43" s="121"/>
      <c r="AJ43" s="121">
        <f t="shared" si="31"/>
        <v>461.02669999999995</v>
      </c>
      <c r="AK43" s="121">
        <f t="shared" si="31"/>
        <v>265.15549999999996</v>
      </c>
      <c r="AL43" s="121">
        <f t="shared" si="31"/>
        <v>218.51949999999999</v>
      </c>
      <c r="AM43" s="121">
        <f t="shared" si="31"/>
        <v>358.42749999999995</v>
      </c>
      <c r="AN43" s="121">
        <f t="shared" si="31"/>
        <v>311.79149999999998</v>
      </c>
      <c r="AO43" s="121">
        <f t="shared" si="31"/>
        <v>339.7731</v>
      </c>
      <c r="AP43" s="121">
        <f t="shared" si="31"/>
        <v>311.79149999999998</v>
      </c>
      <c r="AQ43" s="121">
        <f t="shared" si="31"/>
        <v>358.42749999999995</v>
      </c>
      <c r="AR43" s="121">
        <f t="shared" si="31"/>
        <v>218.51949999999999</v>
      </c>
      <c r="AS43" s="121"/>
      <c r="AU43" s="736"/>
      <c r="AV43" s="408" t="s">
        <v>19</v>
      </c>
      <c r="AW43" s="121">
        <f>AW19*$AH$32+$AH$33</f>
        <v>556.27176153846153</v>
      </c>
      <c r="AX43" s="121">
        <f>AX19*$AH$32+$AH$33</f>
        <v>500.3085615384615</v>
      </c>
      <c r="AY43" s="121"/>
      <c r="AZ43" s="121"/>
      <c r="BA43" s="121"/>
      <c r="BB43" s="121"/>
      <c r="BC43" s="121"/>
      <c r="BD43" s="121"/>
      <c r="BE43" s="121"/>
      <c r="BF43" s="121"/>
      <c r="BG43" s="121"/>
      <c r="BH43" s="325"/>
      <c r="BJ43" s="736"/>
      <c r="BK43" s="408" t="s">
        <v>19</v>
      </c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325"/>
    </row>
    <row r="44" spans="2:75" ht="15.75" thickBot="1" x14ac:dyDescent="0.3">
      <c r="B44" s="691"/>
      <c r="C44" s="136" t="s">
        <v>20</v>
      </c>
      <c r="D44" s="137">
        <f t="shared" si="29"/>
        <v>723.63413333333324</v>
      </c>
      <c r="E44" s="137">
        <f t="shared" si="29"/>
        <v>745.58713333333321</v>
      </c>
      <c r="F44" s="137">
        <f t="shared" si="29"/>
        <v>613.86913333333325</v>
      </c>
      <c r="G44" s="137">
        <f t="shared" si="29"/>
        <v>635.82213333333323</v>
      </c>
      <c r="H44" s="129">
        <f t="shared" si="29"/>
        <v>635.82213333333323</v>
      </c>
      <c r="I44" s="129">
        <f t="shared" si="29"/>
        <v>635.82213333333323</v>
      </c>
      <c r="J44" s="129">
        <f t="shared" si="29"/>
        <v>833.39913333333322</v>
      </c>
      <c r="K44" s="129">
        <f t="shared" si="29"/>
        <v>635.82213333333323</v>
      </c>
      <c r="L44" s="129"/>
      <c r="M44" s="129"/>
      <c r="N44" s="129"/>
      <c r="O44" s="130"/>
      <c r="Q44" s="691"/>
      <c r="R44" s="125" t="s">
        <v>20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F44" s="691"/>
      <c r="AG44" s="22" t="s">
        <v>20</v>
      </c>
      <c r="AH44" s="121"/>
      <c r="AI44" s="121"/>
      <c r="AJ44" s="121">
        <f t="shared" si="31"/>
        <v>367.75469999999996</v>
      </c>
      <c r="AK44" s="121">
        <f t="shared" si="31"/>
        <v>246.50109999999998</v>
      </c>
      <c r="AL44" s="121">
        <f t="shared" si="31"/>
        <v>246.50109999999998</v>
      </c>
      <c r="AM44" s="121">
        <f t="shared" si="31"/>
        <v>255.82829999999998</v>
      </c>
      <c r="AN44" s="121">
        <f t="shared" si="31"/>
        <v>302.46429999999998</v>
      </c>
      <c r="AO44" s="121">
        <f t="shared" si="31"/>
        <v>349.1003</v>
      </c>
      <c r="AP44" s="121">
        <f t="shared" si="31"/>
        <v>311.79149999999998</v>
      </c>
      <c r="AQ44" s="121">
        <f t="shared" si="31"/>
        <v>255.82829999999998</v>
      </c>
      <c r="AR44" s="121">
        <f t="shared" si="31"/>
        <v>162.55629999999999</v>
      </c>
      <c r="AS44" s="121"/>
      <c r="AU44" s="737"/>
      <c r="AV44" s="409" t="s">
        <v>20</v>
      </c>
      <c r="AW44" s="326">
        <f>AW20*$AH$32+$AH$33</f>
        <v>696.17976153846155</v>
      </c>
      <c r="AX44" s="326">
        <f>AX20*$AH$32+$AH$33</f>
        <v>658.87096153846164</v>
      </c>
      <c r="AY44" s="326"/>
      <c r="AZ44" s="326"/>
      <c r="BA44" s="326"/>
      <c r="BB44" s="326"/>
      <c r="BC44" s="326"/>
      <c r="BD44" s="326"/>
      <c r="BE44" s="326"/>
      <c r="BF44" s="326"/>
      <c r="BG44" s="326"/>
      <c r="BH44" s="327"/>
      <c r="BJ44" s="737"/>
      <c r="BK44" s="409" t="s">
        <v>20</v>
      </c>
      <c r="BL44" s="326"/>
      <c r="BM44" s="326"/>
      <c r="BN44" s="326"/>
      <c r="BO44" s="326"/>
      <c r="BP44" s="326"/>
      <c r="BQ44" s="326"/>
      <c r="BR44" s="326"/>
      <c r="BS44" s="326"/>
      <c r="BT44" s="326"/>
      <c r="BU44" s="326"/>
      <c r="BV44" s="326"/>
      <c r="BW44" s="327"/>
    </row>
    <row r="45" spans="2:75" x14ac:dyDescent="0.25">
      <c r="B45" s="689" t="s">
        <v>101</v>
      </c>
      <c r="C45" s="152" t="s">
        <v>8</v>
      </c>
      <c r="D45" s="153" t="s">
        <v>10</v>
      </c>
      <c r="E45" s="153" t="s">
        <v>56</v>
      </c>
      <c r="F45" s="153" t="s">
        <v>100</v>
      </c>
      <c r="G45" s="141" t="s">
        <v>2</v>
      </c>
      <c r="H45" s="135"/>
      <c r="I45" s="135"/>
      <c r="J45" s="135"/>
      <c r="K45" s="135"/>
      <c r="L45" s="135"/>
      <c r="M45" s="135"/>
      <c r="N45" s="135"/>
      <c r="O45" s="135"/>
      <c r="Q45" s="689" t="s">
        <v>101</v>
      </c>
      <c r="R45" s="234" t="s">
        <v>8</v>
      </c>
      <c r="S45" s="153" t="s">
        <v>10</v>
      </c>
      <c r="T45" s="153" t="s">
        <v>56</v>
      </c>
      <c r="U45" s="153" t="s">
        <v>100</v>
      </c>
      <c r="V45" s="141" t="s">
        <v>2</v>
      </c>
      <c r="AF45" s="647" t="s">
        <v>101</v>
      </c>
      <c r="AG45" s="169" t="s">
        <v>8</v>
      </c>
      <c r="AH45" s="170" t="s">
        <v>10</v>
      </c>
      <c r="AI45" s="170" t="s">
        <v>56</v>
      </c>
      <c r="AJ45" s="216" t="s">
        <v>100</v>
      </c>
      <c r="AK45" s="140" t="s">
        <v>2</v>
      </c>
      <c r="AU45" s="644" t="s">
        <v>101</v>
      </c>
      <c r="AV45" s="618" t="s">
        <v>8</v>
      </c>
      <c r="AW45" s="619" t="s">
        <v>10</v>
      </c>
      <c r="AX45" s="619" t="s">
        <v>56</v>
      </c>
      <c r="AY45" s="619" t="s">
        <v>100</v>
      </c>
      <c r="AZ45" s="620" t="s">
        <v>2</v>
      </c>
      <c r="BJ45" s="627" t="s">
        <v>101</v>
      </c>
      <c r="BK45" s="622" t="s">
        <v>8</v>
      </c>
      <c r="BL45" s="413" t="s">
        <v>10</v>
      </c>
      <c r="BM45" s="413" t="s">
        <v>56</v>
      </c>
      <c r="BN45" s="413" t="s">
        <v>100</v>
      </c>
      <c r="BO45" s="411" t="s">
        <v>2</v>
      </c>
    </row>
    <row r="46" spans="2:75" x14ac:dyDescent="0.25">
      <c r="B46" s="690"/>
      <c r="C46" s="763" t="s">
        <v>24</v>
      </c>
      <c r="D46" s="680" t="s">
        <v>92</v>
      </c>
      <c r="E46" s="143" t="s">
        <v>46</v>
      </c>
      <c r="F46" s="144">
        <f>AVERAGE(D43:E43)/10</f>
        <v>71.265763333333325</v>
      </c>
      <c r="G46" s="765">
        <f>AVERAGE(F46:F49)</f>
        <v>75.381950833333335</v>
      </c>
      <c r="H46">
        <f>STDEV(F46:F49)</f>
        <v>23.135431287759104</v>
      </c>
      <c r="Q46" s="690"/>
      <c r="R46" s="628" t="s">
        <v>31</v>
      </c>
      <c r="S46" s="657" t="s">
        <v>142</v>
      </c>
      <c r="T46" s="232" t="s">
        <v>46</v>
      </c>
      <c r="U46" s="143">
        <f>(AVERAGE(U37:V37))/10</f>
        <v>105.74343571428571</v>
      </c>
      <c r="V46" s="676">
        <f>AVERAGE(U46:U51)</f>
        <v>91.405094047619045</v>
      </c>
      <c r="AF46" s="648"/>
      <c r="AG46" s="754" t="s">
        <v>151</v>
      </c>
      <c r="AH46" s="680" t="s">
        <v>94</v>
      </c>
      <c r="AI46" s="163" t="s">
        <v>117</v>
      </c>
      <c r="AJ46" s="122">
        <f>(AVERAGE(AJ37:AJ38))/10</f>
        <v>41.439070000000001</v>
      </c>
      <c r="AK46" s="748">
        <f>AVERAGE(AJ46:AJ55)</f>
        <v>31.039242000000002</v>
      </c>
      <c r="AU46" s="645"/>
      <c r="AV46" s="746" t="s">
        <v>210</v>
      </c>
      <c r="AW46" s="666" t="s">
        <v>214</v>
      </c>
      <c r="AX46" s="79" t="s">
        <v>46</v>
      </c>
      <c r="AY46" s="79">
        <f>AVERAGE(AW43:AX43)/10</f>
        <v>52.829016153846148</v>
      </c>
      <c r="AZ46" s="743">
        <f>AVERAGE(AY46:AY47)</f>
        <v>60.290776153846153</v>
      </c>
      <c r="BJ46" s="628"/>
      <c r="BK46" s="738" t="s">
        <v>710</v>
      </c>
      <c r="BL46" s="680" t="s">
        <v>94</v>
      </c>
      <c r="BM46" s="132" t="s">
        <v>46</v>
      </c>
      <c r="BN46" s="146">
        <f>AVERAGE(BN37:BO37)/10</f>
        <v>23.304109</v>
      </c>
      <c r="BO46" s="731">
        <f>AVERAGE(BN46:BN49)</f>
        <v>26.081526500000002</v>
      </c>
    </row>
    <row r="47" spans="2:75" x14ac:dyDescent="0.25">
      <c r="B47" s="690"/>
      <c r="C47" s="741"/>
      <c r="D47" s="657"/>
      <c r="E47" s="122" t="s">
        <v>44</v>
      </c>
      <c r="F47" s="145">
        <f>AVERAGE(D44:E44)/10</f>
        <v>73.461063333333328</v>
      </c>
      <c r="G47" s="766"/>
      <c r="H47">
        <f>G46+2*H46</f>
        <v>121.65281340885154</v>
      </c>
      <c r="Q47" s="690"/>
      <c r="R47" s="628"/>
      <c r="S47" s="657"/>
      <c r="T47" s="232" t="s">
        <v>44</v>
      </c>
      <c r="U47" s="122">
        <f>(AVERAGE(W37:X37))/10</f>
        <v>94.925285714285721</v>
      </c>
      <c r="V47" s="672"/>
      <c r="AF47" s="648"/>
      <c r="AG47" s="755"/>
      <c r="AH47" s="657"/>
      <c r="AI47" s="79" t="s">
        <v>118</v>
      </c>
      <c r="AJ47" s="122">
        <f>(AVERAGE(AK37:AK38))/10</f>
        <v>30.712789999999995</v>
      </c>
      <c r="AK47" s="743"/>
      <c r="AU47" s="645"/>
      <c r="AV47" s="746"/>
      <c r="AW47" s="745"/>
      <c r="AX47" s="138" t="s">
        <v>44</v>
      </c>
      <c r="AY47" s="138">
        <f>AVERAGE(AW44:AX44)/10</f>
        <v>67.752536153846151</v>
      </c>
      <c r="AZ47" s="744"/>
      <c r="BJ47" s="628"/>
      <c r="BK47" s="739"/>
      <c r="BL47" s="657"/>
      <c r="BM47" s="132" t="s">
        <v>44</v>
      </c>
      <c r="BN47" s="146">
        <f t="shared" ref="BN47:BN49" si="34">AVERAGE(BN38:BO38)/10</f>
        <v>28.004353999999999</v>
      </c>
      <c r="BO47" s="732"/>
    </row>
    <row r="48" spans="2:75" x14ac:dyDescent="0.25">
      <c r="B48" s="690"/>
      <c r="C48" s="741"/>
      <c r="D48" s="657"/>
      <c r="E48" s="122" t="s">
        <v>45</v>
      </c>
      <c r="F48" s="146">
        <f t="shared" ref="F48:F55" si="35">AVERAGE(F37:G37)/10</f>
        <v>106.39056333333333</v>
      </c>
      <c r="G48" s="766"/>
      <c r="H48">
        <f>G46-2*H46</f>
        <v>29.111088257815126</v>
      </c>
      <c r="Q48" s="690"/>
      <c r="R48" s="628"/>
      <c r="S48" s="657"/>
      <c r="T48" s="232" t="s">
        <v>45</v>
      </c>
      <c r="U48" s="122">
        <f>(AVERAGE(Y37:Z37))/10</f>
        <v>78.4404857142857</v>
      </c>
      <c r="V48" s="672"/>
      <c r="AF48" s="648"/>
      <c r="AG48" s="755"/>
      <c r="AH48" s="657"/>
      <c r="AI48" s="79" t="s">
        <v>119</v>
      </c>
      <c r="AJ48" s="122">
        <f>(AVERAGE(AL37:AL38))/10</f>
        <v>24.650109999999998</v>
      </c>
      <c r="AK48" s="743"/>
      <c r="AU48" s="645"/>
      <c r="AV48" s="746"/>
      <c r="AW48" s="666" t="s">
        <v>215</v>
      </c>
      <c r="AX48" s="79" t="s">
        <v>117</v>
      </c>
      <c r="AY48" s="414">
        <f>AVERAGE(AY37:AZ37)/10</f>
        <v>19.058941153846153</v>
      </c>
      <c r="AZ48" s="732">
        <f>AVERAGE(AY48:AY52)</f>
        <v>22.979965153846148</v>
      </c>
      <c r="BJ48" s="628"/>
      <c r="BK48" s="739"/>
      <c r="BL48" s="657"/>
      <c r="BM48" s="132" t="s">
        <v>45</v>
      </c>
      <c r="BN48" s="146">
        <f t="shared" si="34"/>
        <v>23.731403999999998</v>
      </c>
      <c r="BO48" s="732"/>
    </row>
    <row r="49" spans="2:67" x14ac:dyDescent="0.25">
      <c r="B49" s="690"/>
      <c r="C49" s="761"/>
      <c r="D49" s="658"/>
      <c r="E49" s="139" t="s">
        <v>47</v>
      </c>
      <c r="F49" s="147">
        <f t="shared" si="35"/>
        <v>50.410413333333324</v>
      </c>
      <c r="G49" s="767"/>
      <c r="Q49" s="690"/>
      <c r="R49" s="628"/>
      <c r="S49" s="657"/>
      <c r="T49" s="232" t="s">
        <v>47</v>
      </c>
      <c r="U49" s="122">
        <f>(AVERAGE(AA37:AB37))/10</f>
        <v>86.682885714285717</v>
      </c>
      <c r="V49" s="672"/>
      <c r="AF49" s="648"/>
      <c r="AG49" s="755"/>
      <c r="AH49" s="657"/>
      <c r="AI49" s="79" t="s">
        <v>120</v>
      </c>
      <c r="AJ49" s="122">
        <f>(AVERAGE(AM37:AM38))/10</f>
        <v>31.17915</v>
      </c>
      <c r="AK49" s="743"/>
      <c r="AU49" s="645"/>
      <c r="AV49" s="746"/>
      <c r="AW49" s="666"/>
      <c r="AX49" s="79" t="s">
        <v>118</v>
      </c>
      <c r="AY49" s="414">
        <f>AVERAGE(AY38:AZ38)/10</f>
        <v>30.086821153846152</v>
      </c>
      <c r="AZ49" s="732"/>
      <c r="BJ49" s="628"/>
      <c r="BK49" s="739"/>
      <c r="BL49" s="658"/>
      <c r="BM49" s="134" t="s">
        <v>47</v>
      </c>
      <c r="BN49" s="624">
        <f t="shared" si="34"/>
        <v>29.286239000000002</v>
      </c>
      <c r="BO49" s="733"/>
    </row>
    <row r="50" spans="2:67" x14ac:dyDescent="0.25">
      <c r="B50" s="690"/>
      <c r="C50" s="741" t="s">
        <v>28</v>
      </c>
      <c r="D50" s="657" t="s">
        <v>94</v>
      </c>
      <c r="E50" s="122" t="s">
        <v>46</v>
      </c>
      <c r="F50" s="145">
        <f t="shared" si="35"/>
        <v>31.750363333333336</v>
      </c>
      <c r="G50" s="765">
        <f>AVERAGE(F50:F54)</f>
        <v>28.457413333333335</v>
      </c>
      <c r="H50">
        <f>STDEV(F50:F54)</f>
        <v>9.0514537799184289</v>
      </c>
      <c r="Q50" s="690"/>
      <c r="R50" s="628"/>
      <c r="S50" s="657"/>
      <c r="T50" s="232" t="s">
        <v>48</v>
      </c>
      <c r="U50" s="122">
        <f>(AVERAGE(AC37:AD37))/10</f>
        <v>93.379835714285718</v>
      </c>
      <c r="V50" s="672"/>
      <c r="AF50" s="648"/>
      <c r="AG50" s="755"/>
      <c r="AH50" s="657"/>
      <c r="AI50" s="79" t="s">
        <v>121</v>
      </c>
      <c r="AJ50" s="122">
        <f>(AVERAGE(AN37:AN38))/10</f>
        <v>34.910029999999992</v>
      </c>
      <c r="AK50" s="743"/>
      <c r="AU50" s="645"/>
      <c r="AV50" s="746"/>
      <c r="AW50" s="666"/>
      <c r="AX50" s="79" t="s">
        <v>119</v>
      </c>
      <c r="AY50" s="414">
        <f>AVERAGE(AY39:AZ39)/10</f>
        <v>15.382981153846151</v>
      </c>
      <c r="AZ50" s="732"/>
      <c r="BJ50" s="628"/>
      <c r="BK50" s="739"/>
      <c r="BL50" s="657" t="s">
        <v>144</v>
      </c>
      <c r="BM50" s="132" t="s">
        <v>49</v>
      </c>
      <c r="BN50" s="146">
        <f>AVERAGE(BP37:BQ37)/10</f>
        <v>24.585993999999999</v>
      </c>
      <c r="BO50" s="731">
        <f>AVERAGE(BN50:BN54)</f>
        <v>30.05537</v>
      </c>
    </row>
    <row r="51" spans="2:67" x14ac:dyDescent="0.25">
      <c r="B51" s="690"/>
      <c r="C51" s="741"/>
      <c r="D51" s="657"/>
      <c r="E51" s="122" t="s">
        <v>44</v>
      </c>
      <c r="F51" s="145">
        <f t="shared" si="35"/>
        <v>42.726863333333327</v>
      </c>
      <c r="G51" s="766"/>
      <c r="H51">
        <f>G50+2*H50</f>
        <v>46.560320893170193</v>
      </c>
      <c r="Q51" s="690"/>
      <c r="R51" s="730"/>
      <c r="S51" s="658"/>
      <c r="T51" s="52" t="s">
        <v>49</v>
      </c>
      <c r="U51" s="139">
        <f>(AVERAGE(U38:V38))/10</f>
        <v>89.258635714285717</v>
      </c>
      <c r="V51" s="760"/>
      <c r="AF51" s="648"/>
      <c r="AG51" s="755"/>
      <c r="AH51" s="657"/>
      <c r="AI51" s="79" t="s">
        <v>122</v>
      </c>
      <c r="AJ51" s="122">
        <f>(AVERAGE(AO37:AO38))/10</f>
        <v>30.246429999999997</v>
      </c>
      <c r="AK51" s="743"/>
      <c r="AU51" s="645"/>
      <c r="AV51" s="746"/>
      <c r="AW51" s="666"/>
      <c r="AX51" s="79" t="s">
        <v>120</v>
      </c>
      <c r="AY51" s="414">
        <f>AVERAGE(AY40:AZ40)/10</f>
        <v>27.023521153846151</v>
      </c>
      <c r="AZ51" s="732"/>
      <c r="BJ51" s="628"/>
      <c r="BK51" s="739"/>
      <c r="BL51" s="657"/>
      <c r="BM51" s="132" t="s">
        <v>711</v>
      </c>
      <c r="BN51" s="146">
        <f t="shared" ref="BN51:BN54" si="36">AVERAGE(BP38:BQ38)/10</f>
        <v>33.131894000000003</v>
      </c>
      <c r="BO51" s="732"/>
    </row>
    <row r="52" spans="2:67" x14ac:dyDescent="0.25">
      <c r="B52" s="690"/>
      <c r="C52" s="741"/>
      <c r="D52" s="657"/>
      <c r="E52" s="122" t="s">
        <v>45</v>
      </c>
      <c r="F52" s="145">
        <f t="shared" si="35"/>
        <v>20.773863333333331</v>
      </c>
      <c r="G52" s="766"/>
      <c r="H52">
        <f>G50-2*H50</f>
        <v>10.354505773496477</v>
      </c>
      <c r="Q52" s="690"/>
      <c r="R52" s="628" t="s">
        <v>51</v>
      </c>
      <c r="S52" s="657" t="s">
        <v>143</v>
      </c>
      <c r="T52" s="232" t="s">
        <v>46</v>
      </c>
      <c r="U52" s="122">
        <f>(AVERAGE(W38:X38))/10</f>
        <v>61.440535714285716</v>
      </c>
      <c r="V52" s="676">
        <f>AVERAGE(U52:U57)</f>
        <v>52.425410714285711</v>
      </c>
      <c r="AF52" s="648"/>
      <c r="AG52" s="755"/>
      <c r="AH52" s="657"/>
      <c r="AI52" s="79" t="s">
        <v>123</v>
      </c>
      <c r="AJ52" s="122">
        <f>(AVERAGE(AP37:AP38))/10</f>
        <v>23.717389999999998</v>
      </c>
      <c r="AK52" s="743"/>
      <c r="AU52" s="645"/>
      <c r="AV52" s="746"/>
      <c r="AW52" s="745"/>
      <c r="AX52" s="138" t="s">
        <v>121</v>
      </c>
      <c r="AY52" s="416">
        <f>AVERAGE(AY41:AZ41)/10</f>
        <v>23.347561153846151</v>
      </c>
      <c r="AZ52" s="733"/>
      <c r="BJ52" s="628"/>
      <c r="BK52" s="739"/>
      <c r="BL52" s="657"/>
      <c r="BM52" s="132" t="s">
        <v>712</v>
      </c>
      <c r="BN52" s="146">
        <f t="shared" si="36"/>
        <v>34.413778999999998</v>
      </c>
      <c r="BO52" s="732"/>
    </row>
    <row r="53" spans="2:67" x14ac:dyDescent="0.25">
      <c r="B53" s="690"/>
      <c r="C53" s="741"/>
      <c r="D53" s="657"/>
      <c r="E53" s="122" t="s">
        <v>47</v>
      </c>
      <c r="F53" s="145">
        <f t="shared" si="35"/>
        <v>25.164463333333334</v>
      </c>
      <c r="G53" s="766"/>
      <c r="Q53" s="690"/>
      <c r="R53" s="628"/>
      <c r="S53" s="657"/>
      <c r="T53" s="232" t="s">
        <v>44</v>
      </c>
      <c r="U53" s="122">
        <f>(AVERAGE(Y38:Z38))/10</f>
        <v>42.379985714285723</v>
      </c>
      <c r="V53" s="672"/>
      <c r="AF53" s="648"/>
      <c r="AG53" s="755"/>
      <c r="AH53" s="657"/>
      <c r="AI53" s="79" t="s">
        <v>124</v>
      </c>
      <c r="AJ53" s="122">
        <f>(AVERAGE(AQ37:AQ38))/10</f>
        <v>27.448269999999997</v>
      </c>
      <c r="AK53" s="743"/>
      <c r="AU53" s="645"/>
      <c r="AV53" s="746"/>
      <c r="AW53" s="666" t="s">
        <v>216</v>
      </c>
      <c r="AX53" s="79" t="s">
        <v>117</v>
      </c>
      <c r="AY53" s="414">
        <f>AVERAGE(BA37:BB37)/10</f>
        <v>13.545001153846153</v>
      </c>
      <c r="AZ53" s="732">
        <f>AVERAGE(AY53:AY57)</f>
        <v>14.035129153846151</v>
      </c>
      <c r="BJ53" s="628"/>
      <c r="BK53" s="739"/>
      <c r="BL53" s="657"/>
      <c r="BM53" s="132" t="s">
        <v>713</v>
      </c>
      <c r="BN53" s="146">
        <f t="shared" si="36"/>
        <v>29.286239000000002</v>
      </c>
      <c r="BO53" s="732"/>
    </row>
    <row r="54" spans="2:67" x14ac:dyDescent="0.25">
      <c r="B54" s="690"/>
      <c r="C54" s="761"/>
      <c r="D54" s="658"/>
      <c r="E54" s="139" t="s">
        <v>48</v>
      </c>
      <c r="F54" s="147">
        <f t="shared" si="35"/>
        <v>21.871513333333333</v>
      </c>
      <c r="G54" s="767"/>
      <c r="Q54" s="690"/>
      <c r="R54" s="628"/>
      <c r="S54" s="657"/>
      <c r="T54" s="232" t="s">
        <v>45</v>
      </c>
      <c r="U54" s="122">
        <f>(AVERAGE(AA38:AB38))/10</f>
        <v>43.41028571428572</v>
      </c>
      <c r="V54" s="672"/>
      <c r="AF54" s="648"/>
      <c r="AG54" s="755"/>
      <c r="AH54" s="657"/>
      <c r="AI54" s="79" t="s">
        <v>125</v>
      </c>
      <c r="AJ54" s="122">
        <f>(AVERAGE(AR37:AR38))/10</f>
        <v>43.770870000000002</v>
      </c>
      <c r="AK54" s="743"/>
      <c r="AU54" s="645"/>
      <c r="AV54" s="746"/>
      <c r="AW54" s="666"/>
      <c r="AX54" s="79" t="s">
        <v>118</v>
      </c>
      <c r="AY54" s="414">
        <f>AVERAGE(BA38:BB38)/10</f>
        <v>15.076651153846152</v>
      </c>
      <c r="AZ54" s="732"/>
      <c r="BJ54" s="628"/>
      <c r="BK54" s="740"/>
      <c r="BL54" s="658"/>
      <c r="BM54" s="134" t="s">
        <v>714</v>
      </c>
      <c r="BN54" s="624">
        <f t="shared" si="36"/>
        <v>28.858943999999997</v>
      </c>
      <c r="BO54" s="733"/>
    </row>
    <row r="55" spans="2:67" x14ac:dyDescent="0.25">
      <c r="B55" s="690"/>
      <c r="C55" s="741" t="s">
        <v>34</v>
      </c>
      <c r="D55" s="657" t="s">
        <v>95</v>
      </c>
      <c r="E55" s="122" t="s">
        <v>46</v>
      </c>
      <c r="F55" s="145">
        <f t="shared" si="35"/>
        <v>62.484563333333327</v>
      </c>
      <c r="G55" s="765">
        <f>AVERAGE(F55:F60)</f>
        <v>77.302838333333327</v>
      </c>
      <c r="H55">
        <f>STDEV(F55:F60)</f>
        <v>14.771449256073359</v>
      </c>
      <c r="Q55" s="690"/>
      <c r="R55" s="628"/>
      <c r="S55" s="657"/>
      <c r="T55" s="232" t="s">
        <v>47</v>
      </c>
      <c r="U55" s="122">
        <f>(AVERAGE(AC38:AD38))/10</f>
        <v>43.925435714285719</v>
      </c>
      <c r="V55" s="672"/>
      <c r="AF55" s="648"/>
      <c r="AG55" s="756"/>
      <c r="AH55" s="658"/>
      <c r="AI55" s="138" t="s">
        <v>126</v>
      </c>
      <c r="AJ55" s="139">
        <f>(AVERAGE(AS37:AS38))/10</f>
        <v>22.31831</v>
      </c>
      <c r="AK55" s="744"/>
      <c r="AU55" s="645"/>
      <c r="AV55" s="746"/>
      <c r="AW55" s="666"/>
      <c r="AX55" s="79" t="s">
        <v>119</v>
      </c>
      <c r="AY55" s="414">
        <f>AVERAGE(BA39:BB39)/10</f>
        <v>15.382981153846151</v>
      </c>
      <c r="AZ55" s="732"/>
      <c r="BJ55" s="628"/>
      <c r="BK55" s="741" t="s">
        <v>715</v>
      </c>
      <c r="BL55" s="696" t="s">
        <v>143</v>
      </c>
      <c r="BM55" s="132" t="s">
        <v>46</v>
      </c>
      <c r="BN55" s="146">
        <f>AVERAGE(BR37:BS37)/10</f>
        <v>42.532383999999993</v>
      </c>
      <c r="BO55" s="731">
        <f>AVERAGE(BN55:BN62)</f>
        <v>45.202977749999988</v>
      </c>
    </row>
    <row r="56" spans="2:67" x14ac:dyDescent="0.25">
      <c r="B56" s="690"/>
      <c r="C56" s="741"/>
      <c r="D56" s="657"/>
      <c r="E56" s="122" t="s">
        <v>44</v>
      </c>
      <c r="F56" s="145">
        <f t="shared" ref="F56:F63" si="37">AVERAGE(H37:I37)/10</f>
        <v>71.265763333333325</v>
      </c>
      <c r="G56" s="766"/>
      <c r="H56">
        <f>G55+2*H55</f>
        <v>106.84573684548005</v>
      </c>
      <c r="Q56" s="690"/>
      <c r="R56" s="628"/>
      <c r="S56" s="657"/>
      <c r="T56" s="232" t="s">
        <v>48</v>
      </c>
      <c r="U56" s="122">
        <f>(AVERAGE(U39:V39))/10</f>
        <v>78.955635714285705</v>
      </c>
      <c r="V56" s="672"/>
      <c r="AF56" s="648"/>
      <c r="AG56" s="754" t="s">
        <v>150</v>
      </c>
      <c r="AH56" s="680" t="s">
        <v>143</v>
      </c>
      <c r="AI56" s="163" t="s">
        <v>122</v>
      </c>
      <c r="AJ56" s="122">
        <f>(AVERAGE(AJ39:AJ40))/10</f>
        <v>42.371789999999997</v>
      </c>
      <c r="AK56" s="748">
        <f>AVERAGE(AJ56:AJ60)</f>
        <v>44.237229999999997</v>
      </c>
      <c r="AU56" s="645"/>
      <c r="AV56" s="746"/>
      <c r="AW56" s="666"/>
      <c r="AX56" s="79" t="s">
        <v>120</v>
      </c>
      <c r="AY56" s="414">
        <f>AVERAGE(BA40:BB40)/10</f>
        <v>12.319681153846153</v>
      </c>
      <c r="AZ56" s="732"/>
      <c r="BJ56" s="628"/>
      <c r="BK56" s="741"/>
      <c r="BL56" s="696"/>
      <c r="BM56" s="132" t="s">
        <v>44</v>
      </c>
      <c r="BN56" s="146">
        <f t="shared" ref="BN56:BN58" si="38">AVERAGE(BR38:BS38)/10</f>
        <v>44.668858999999998</v>
      </c>
      <c r="BO56" s="732"/>
    </row>
    <row r="57" spans="2:67" x14ac:dyDescent="0.25">
      <c r="B57" s="690"/>
      <c r="C57" s="741"/>
      <c r="D57" s="657"/>
      <c r="E57" s="122" t="s">
        <v>45</v>
      </c>
      <c r="F57" s="145">
        <f t="shared" si="37"/>
        <v>76.754013333333319</v>
      </c>
      <c r="G57" s="766"/>
      <c r="H57">
        <f>G55-2*H55</f>
        <v>47.759939821186606</v>
      </c>
      <c r="Q57" s="690"/>
      <c r="R57" s="730"/>
      <c r="S57" s="658"/>
      <c r="T57" s="52" t="s">
        <v>49</v>
      </c>
      <c r="U57" s="139">
        <f>(AVERAGE(W39:X39))/10</f>
        <v>44.440585714285717</v>
      </c>
      <c r="V57" s="760"/>
      <c r="AF57" s="648"/>
      <c r="AG57" s="755"/>
      <c r="AH57" s="657"/>
      <c r="AI57" s="79" t="s">
        <v>123</v>
      </c>
      <c r="AJ57" s="122">
        <f>(AVERAGE(AK39:AK40))/10</f>
        <v>46.102670000000003</v>
      </c>
      <c r="AK57" s="743"/>
      <c r="AU57" s="645"/>
      <c r="AV57" s="746"/>
      <c r="AW57" s="745"/>
      <c r="AX57" s="138" t="s">
        <v>121</v>
      </c>
      <c r="AY57" s="416">
        <f>AVERAGE(BA41:BB41)/10</f>
        <v>13.851331153846152</v>
      </c>
      <c r="AZ57" s="733"/>
      <c r="BJ57" s="628"/>
      <c r="BK57" s="741"/>
      <c r="BL57" s="696"/>
      <c r="BM57" s="132" t="s">
        <v>45</v>
      </c>
      <c r="BN57" s="146">
        <f t="shared" si="38"/>
        <v>37.832138999999998</v>
      </c>
      <c r="BO57" s="732"/>
    </row>
    <row r="58" spans="2:67" x14ac:dyDescent="0.25">
      <c r="B58" s="690"/>
      <c r="C58" s="741"/>
      <c r="D58" s="657"/>
      <c r="E58" s="122" t="s">
        <v>47</v>
      </c>
      <c r="F58" s="146">
        <f t="shared" si="37"/>
        <v>105.29291333333333</v>
      </c>
      <c r="G58" s="766"/>
      <c r="Q58" s="690"/>
      <c r="R58" s="628" t="s">
        <v>113</v>
      </c>
      <c r="S58" s="657" t="s">
        <v>144</v>
      </c>
      <c r="T58" s="232" t="s">
        <v>46</v>
      </c>
      <c r="U58" s="122">
        <f>(AVERAGE(Y39:Z39))/10</f>
        <v>29.501235714285713</v>
      </c>
      <c r="V58" s="676">
        <f>AVERAGE(U58,U60:U61)</f>
        <v>31.733552380952375</v>
      </c>
      <c r="AF58" s="648"/>
      <c r="AG58" s="755"/>
      <c r="AH58" s="657"/>
      <c r="AI58" s="79" t="s">
        <v>124</v>
      </c>
      <c r="AJ58" s="122">
        <f>(AVERAGE(AL39:AL40))/10</f>
        <v>49.367189999999994</v>
      </c>
      <c r="AK58" s="743"/>
      <c r="AU58" s="645"/>
      <c r="AV58" s="746"/>
      <c r="AW58" s="298" t="s">
        <v>217</v>
      </c>
      <c r="AX58" s="138" t="s">
        <v>117</v>
      </c>
      <c r="AY58" s="416">
        <f>AVERAGE(BC37:BD37)/10</f>
        <v>15.382981153846151</v>
      </c>
      <c r="AZ58" s="417">
        <f>AY58</f>
        <v>15.382981153846151</v>
      </c>
      <c r="BJ58" s="628"/>
      <c r="BK58" s="741"/>
      <c r="BL58" s="696"/>
      <c r="BM58" s="132" t="s">
        <v>47</v>
      </c>
      <c r="BN58" s="146">
        <f t="shared" si="38"/>
        <v>45.096153999999999</v>
      </c>
      <c r="BO58" s="732"/>
    </row>
    <row r="59" spans="2:67" x14ac:dyDescent="0.25">
      <c r="B59" s="690"/>
      <c r="C59" s="741"/>
      <c r="D59" s="657"/>
      <c r="E59" s="122" t="s">
        <v>48</v>
      </c>
      <c r="F59" s="145">
        <f t="shared" si="37"/>
        <v>77.851663333333335</v>
      </c>
      <c r="G59" s="766"/>
      <c r="Q59" s="690"/>
      <c r="R59" s="628"/>
      <c r="S59" s="657"/>
      <c r="T59" s="236" t="s">
        <v>44</v>
      </c>
      <c r="U59" s="237">
        <f>(AVERAGE(AA39:AB39))/10</f>
        <v>44.440585714285717</v>
      </c>
      <c r="V59" s="672"/>
      <c r="AF59" s="648"/>
      <c r="AG59" s="755"/>
      <c r="AH59" s="657"/>
      <c r="AI59" s="79" t="s">
        <v>125</v>
      </c>
      <c r="AJ59" s="122">
        <f>(AVERAGE(AM39:AM40))/10</f>
        <v>40.972709999999992</v>
      </c>
      <c r="AK59" s="743"/>
      <c r="AU59" s="645"/>
      <c r="AV59" s="746"/>
      <c r="AW59" s="666" t="s">
        <v>218</v>
      </c>
      <c r="AX59" s="79" t="s">
        <v>117</v>
      </c>
      <c r="AY59" s="414">
        <f>AVERAGE(BC38:BD38)/10</f>
        <v>13.851331153846152</v>
      </c>
      <c r="AZ59" s="732">
        <f>AVERAGE(AY59:AY61)</f>
        <v>9.0521611538461517</v>
      </c>
      <c r="BJ59" s="628"/>
      <c r="BK59" s="741"/>
      <c r="BL59" s="696"/>
      <c r="BM59" s="132" t="s">
        <v>48</v>
      </c>
      <c r="BN59" s="146">
        <f>AVERAGE(BT37:BU37)/10</f>
        <v>44.241563999999997</v>
      </c>
      <c r="BO59" s="732"/>
    </row>
    <row r="60" spans="2:67" x14ac:dyDescent="0.25">
      <c r="B60" s="690"/>
      <c r="C60" s="761"/>
      <c r="D60" s="658"/>
      <c r="E60" s="139" t="s">
        <v>49</v>
      </c>
      <c r="F60" s="147">
        <f t="shared" si="37"/>
        <v>70.168113333333324</v>
      </c>
      <c r="G60" s="767"/>
      <c r="Q60" s="690"/>
      <c r="R60" s="628"/>
      <c r="S60" s="657"/>
      <c r="T60" s="232" t="s">
        <v>45</v>
      </c>
      <c r="U60" s="122">
        <f>(AVERAGE(AC39:AD39))/10</f>
        <v>24.864885714285712</v>
      </c>
      <c r="V60" s="672"/>
      <c r="AF60" s="648"/>
      <c r="AG60" s="756"/>
      <c r="AH60" s="658"/>
      <c r="AI60" s="138" t="s">
        <v>126</v>
      </c>
      <c r="AJ60" s="139">
        <f>(AVERAGE(AN39:AN40))/10</f>
        <v>42.371789999999997</v>
      </c>
      <c r="AK60" s="744"/>
      <c r="AU60" s="645"/>
      <c r="AV60" s="746"/>
      <c r="AW60" s="666"/>
      <c r="AX60" s="79" t="s">
        <v>118</v>
      </c>
      <c r="AY60" s="414">
        <f>AVERAGE(BC39:BD39)/10</f>
        <v>5.8867511538461539</v>
      </c>
      <c r="AZ60" s="732"/>
      <c r="BJ60" s="628"/>
      <c r="BK60" s="741"/>
      <c r="BL60" s="696"/>
      <c r="BM60" s="132" t="s">
        <v>49</v>
      </c>
      <c r="BN60" s="146">
        <f t="shared" ref="BN60:BN62" si="39">AVERAGE(BT38:BU38)/10</f>
        <v>44.241563999999997</v>
      </c>
      <c r="BO60" s="732"/>
    </row>
    <row r="61" spans="2:67" ht="15.75" thickBot="1" x14ac:dyDescent="0.3">
      <c r="B61" s="690"/>
      <c r="C61" s="741" t="s">
        <v>35</v>
      </c>
      <c r="D61" s="657" t="s">
        <v>96</v>
      </c>
      <c r="E61" s="122" t="s">
        <v>46</v>
      </c>
      <c r="F61" s="145">
        <f t="shared" si="37"/>
        <v>74.558713333333316</v>
      </c>
      <c r="G61" s="765">
        <f>AVERAGE(F61:F66)</f>
        <v>62.667504999999998</v>
      </c>
      <c r="H61">
        <f>STDEV(F61:F66)</f>
        <v>8.8744623492026484</v>
      </c>
      <c r="Q61" s="690"/>
      <c r="R61" s="730"/>
      <c r="S61" s="658"/>
      <c r="T61" s="52" t="s">
        <v>47</v>
      </c>
      <c r="U61" s="139">
        <f>(AVERAGE(U40:V41))/10</f>
        <v>40.834535714285707</v>
      </c>
      <c r="V61" s="760"/>
      <c r="AF61" s="648"/>
      <c r="AG61" s="753" t="s">
        <v>154</v>
      </c>
      <c r="AH61" s="750" t="s">
        <v>144</v>
      </c>
      <c r="AI61" s="331" t="s">
        <v>46</v>
      </c>
      <c r="AJ61" s="122">
        <f>(AVERAGE(AJ41:AJ42))/10</f>
        <v>18.121069999999996</v>
      </c>
      <c r="AK61" s="748">
        <f>AVERAGE(AJ61:AJ67)</f>
        <v>25.782698571428565</v>
      </c>
      <c r="AU61" s="646"/>
      <c r="AV61" s="747"/>
      <c r="AW61" s="683"/>
      <c r="AX61" s="82" t="s">
        <v>119</v>
      </c>
      <c r="AY61" s="415">
        <f>AVERAGE(BC40:BD40)/10</f>
        <v>7.418401153846153</v>
      </c>
      <c r="AZ61" s="734"/>
      <c r="BJ61" s="628"/>
      <c r="BK61" s="741"/>
      <c r="BL61" s="696"/>
      <c r="BM61" s="132" t="s">
        <v>711</v>
      </c>
      <c r="BN61" s="146">
        <f t="shared" si="39"/>
        <v>45.950744</v>
      </c>
      <c r="BO61" s="732"/>
    </row>
    <row r="62" spans="2:67" ht="15.75" thickBot="1" x14ac:dyDescent="0.3">
      <c r="B62" s="690"/>
      <c r="C62" s="741"/>
      <c r="D62" s="657"/>
      <c r="E62" s="122" t="s">
        <v>44</v>
      </c>
      <c r="F62" s="145">
        <f t="shared" si="37"/>
        <v>64.67986333333333</v>
      </c>
      <c r="G62" s="766"/>
      <c r="H62">
        <f>G61+2*H61</f>
        <v>80.416429698405295</v>
      </c>
      <c r="Q62" s="690"/>
      <c r="R62" s="628" t="s">
        <v>127</v>
      </c>
      <c r="S62" s="657" t="s">
        <v>96</v>
      </c>
      <c r="T62" s="232" t="s">
        <v>117</v>
      </c>
      <c r="U62" s="122">
        <f>(AVERAGE(W40:X40))/10</f>
        <v>64.53143571428572</v>
      </c>
      <c r="V62" s="676">
        <f>AVERAGE(U62:U71)</f>
        <v>60.25569071428572</v>
      </c>
      <c r="AF62" s="648"/>
      <c r="AG62" s="669"/>
      <c r="AH62" s="751"/>
      <c r="AI62" s="332" t="s">
        <v>44</v>
      </c>
      <c r="AJ62" s="122">
        <f>(AVERAGE(AK41:AK42))/10</f>
        <v>23.251029999999997</v>
      </c>
      <c r="AK62" s="743"/>
      <c r="BJ62" s="629"/>
      <c r="BK62" s="742"/>
      <c r="BL62" s="639"/>
      <c r="BM62" s="203" t="s">
        <v>712</v>
      </c>
      <c r="BN62" s="623">
        <f t="shared" si="39"/>
        <v>57.060413999999994</v>
      </c>
      <c r="BO62" s="734"/>
    </row>
    <row r="63" spans="2:67" x14ac:dyDescent="0.25">
      <c r="B63" s="690"/>
      <c r="C63" s="741"/>
      <c r="D63" s="657"/>
      <c r="E63" s="122" t="s">
        <v>45</v>
      </c>
      <c r="F63" s="145">
        <f t="shared" si="37"/>
        <v>63.582213333333321</v>
      </c>
      <c r="G63" s="766"/>
      <c r="H63">
        <f>G61-2*H61</f>
        <v>44.918580301594702</v>
      </c>
      <c r="Q63" s="690"/>
      <c r="R63" s="628"/>
      <c r="S63" s="657"/>
      <c r="T63" s="232" t="s">
        <v>118</v>
      </c>
      <c r="U63" s="122">
        <f>(AVERAGE(Y40:Z40))/10</f>
        <v>70.713235714285716</v>
      </c>
      <c r="V63" s="672"/>
      <c r="AF63" s="648"/>
      <c r="AG63" s="669"/>
      <c r="AH63" s="751"/>
      <c r="AI63" s="332" t="s">
        <v>122</v>
      </c>
      <c r="AJ63" s="122">
        <f>(AVERAGE(AL41:AL42))/10</f>
        <v>26.981909999999999</v>
      </c>
      <c r="AK63" s="743"/>
    </row>
    <row r="64" spans="2:67" x14ac:dyDescent="0.25">
      <c r="B64" s="690"/>
      <c r="C64" s="741"/>
      <c r="D64" s="657"/>
      <c r="E64" s="122" t="s">
        <v>47</v>
      </c>
      <c r="F64" s="145">
        <f t="shared" ref="F64:F71" si="40">AVERAGE(J37:K37)/10</f>
        <v>47.117463333333333</v>
      </c>
      <c r="G64" s="766"/>
      <c r="Q64" s="690"/>
      <c r="R64" s="628"/>
      <c r="S64" s="657"/>
      <c r="T64" s="232" t="s">
        <v>119</v>
      </c>
      <c r="U64" s="122">
        <f>(AVERAGE(AA40:AB40))/10</f>
        <v>49.592085714285716</v>
      </c>
      <c r="V64" s="672"/>
      <c r="AF64" s="648"/>
      <c r="AG64" s="669"/>
      <c r="AH64" s="751"/>
      <c r="AI64" s="332" t="s">
        <v>123</v>
      </c>
      <c r="AJ64" s="122">
        <f>(AVERAGE(AM41:AM42))/10</f>
        <v>34.443669999999997</v>
      </c>
      <c r="AK64" s="743"/>
    </row>
    <row r="65" spans="2:37" x14ac:dyDescent="0.25">
      <c r="B65" s="690"/>
      <c r="C65" s="741"/>
      <c r="D65" s="657"/>
      <c r="E65" s="122" t="s">
        <v>48</v>
      </c>
      <c r="F65" s="145">
        <f t="shared" si="40"/>
        <v>64.67986333333333</v>
      </c>
      <c r="G65" s="766"/>
      <c r="Q65" s="690"/>
      <c r="R65" s="628"/>
      <c r="S65" s="657"/>
      <c r="T65" s="232" t="s">
        <v>120</v>
      </c>
      <c r="U65" s="122">
        <f>(AVERAGE(AC40:AD40))/10</f>
        <v>61.955685714285707</v>
      </c>
      <c r="V65" s="672"/>
      <c r="AF65" s="648"/>
      <c r="AG65" s="669"/>
      <c r="AH65" s="751"/>
      <c r="AI65" s="332" t="s">
        <v>124</v>
      </c>
      <c r="AJ65" s="122">
        <f>(AVERAGE(AN41:AN42))/10</f>
        <v>32.111869999999996</v>
      </c>
      <c r="AK65" s="743"/>
    </row>
    <row r="66" spans="2:37" x14ac:dyDescent="0.25">
      <c r="B66" s="690"/>
      <c r="C66" s="761"/>
      <c r="D66" s="658"/>
      <c r="E66" s="139" t="s">
        <v>49</v>
      </c>
      <c r="F66" s="147">
        <f t="shared" si="40"/>
        <v>61.386913333333325</v>
      </c>
      <c r="G66" s="767"/>
      <c r="Q66" s="690"/>
      <c r="R66" s="628"/>
      <c r="S66" s="657"/>
      <c r="T66" s="232" t="s">
        <v>121</v>
      </c>
      <c r="U66" s="122">
        <f>(AVERAGE(U41:V41))/10</f>
        <v>52.167835714285715</v>
      </c>
      <c r="V66" s="672"/>
      <c r="AF66" s="648"/>
      <c r="AG66" s="669"/>
      <c r="AH66" s="751"/>
      <c r="AI66" s="332" t="s">
        <v>125</v>
      </c>
      <c r="AJ66" s="122">
        <f>(AVERAGE(AO41:AO42))/10</f>
        <v>26.515549999999998</v>
      </c>
      <c r="AK66" s="743"/>
    </row>
    <row r="67" spans="2:37" x14ac:dyDescent="0.25">
      <c r="B67" s="690"/>
      <c r="C67" s="755" t="s">
        <v>50</v>
      </c>
      <c r="D67" s="751" t="s">
        <v>149</v>
      </c>
      <c r="E67" s="122" t="s">
        <v>46</v>
      </c>
      <c r="F67" s="131">
        <f t="shared" si="40"/>
        <v>60.289263333333324</v>
      </c>
      <c r="G67" s="765">
        <f>AVERAGE(F67:F72)</f>
        <v>54.98395499999998</v>
      </c>
      <c r="H67">
        <f>STDEV(F67:F72)</f>
        <v>14.535748672236304</v>
      </c>
      <c r="Q67" s="690"/>
      <c r="R67" s="628"/>
      <c r="S67" s="657"/>
      <c r="T67" s="232" t="s">
        <v>122</v>
      </c>
      <c r="U67" s="122">
        <f>(AVERAGE(W41:X41))/10</f>
        <v>53.713285714285711</v>
      </c>
      <c r="V67" s="672"/>
      <c r="AF67" s="648"/>
      <c r="AG67" s="670"/>
      <c r="AH67" s="752"/>
      <c r="AI67" s="333" t="s">
        <v>126</v>
      </c>
      <c r="AJ67" s="139">
        <f>(AVERAGE(AP41:AP42))/10</f>
        <v>19.053789999999999</v>
      </c>
      <c r="AK67" s="744"/>
    </row>
    <row r="68" spans="2:37" x14ac:dyDescent="0.25">
      <c r="B68" s="690"/>
      <c r="C68" s="755"/>
      <c r="D68" s="751"/>
      <c r="E68" s="122" t="s">
        <v>44</v>
      </c>
      <c r="F68" s="131">
        <f t="shared" si="40"/>
        <v>36.140963333333325</v>
      </c>
      <c r="G68" s="766"/>
      <c r="H68">
        <f>G67+2*H67</f>
        <v>84.055452344472585</v>
      </c>
      <c r="Q68" s="690"/>
      <c r="R68" s="628"/>
      <c r="S68" s="657"/>
      <c r="T68" s="232" t="s">
        <v>123</v>
      </c>
      <c r="U68" s="122">
        <f>(AVERAGE(Y41:Z41))/10</f>
        <v>55.773885714285711</v>
      </c>
      <c r="V68" s="672"/>
      <c r="AF68" s="648"/>
      <c r="AG68" s="753" t="s">
        <v>153</v>
      </c>
      <c r="AH68" s="680" t="s">
        <v>149</v>
      </c>
      <c r="AI68" s="331" t="s">
        <v>117</v>
      </c>
      <c r="AJ68" s="122">
        <f>(AVERAGE(AJ43:AJ44))/10</f>
        <v>41.439069999999994</v>
      </c>
      <c r="AK68" s="748">
        <f>AVERAGE(AJ68:AJ76)</f>
        <v>29.676434444444439</v>
      </c>
    </row>
    <row r="69" spans="2:37" x14ac:dyDescent="0.25">
      <c r="B69" s="690"/>
      <c r="C69" s="755"/>
      <c r="D69" s="751"/>
      <c r="E69" s="122" t="s">
        <v>45</v>
      </c>
      <c r="F69" s="131">
        <f t="shared" si="40"/>
        <v>44.92216333333333</v>
      </c>
      <c r="G69" s="766"/>
      <c r="H69">
        <f>G67-2*H67</f>
        <v>25.912457655527373</v>
      </c>
      <c r="Q69" s="690"/>
      <c r="R69" s="628"/>
      <c r="S69" s="657"/>
      <c r="T69" s="232" t="s">
        <v>124</v>
      </c>
      <c r="U69" s="122">
        <f>(AVERAGE(AA41:AB41))/10</f>
        <v>57.834485714285712</v>
      </c>
      <c r="V69" s="672"/>
      <c r="AF69" s="648"/>
      <c r="AG69" s="669"/>
      <c r="AH69" s="657"/>
      <c r="AI69" s="332" t="s">
        <v>118</v>
      </c>
      <c r="AJ69" s="122">
        <f>(AVERAGE(AK43:AK44))/10</f>
        <v>25.582829999999994</v>
      </c>
      <c r="AK69" s="743"/>
    </row>
    <row r="70" spans="2:37" x14ac:dyDescent="0.25">
      <c r="B70" s="690"/>
      <c r="C70" s="755"/>
      <c r="D70" s="751"/>
      <c r="E70" s="122" t="s">
        <v>47</v>
      </c>
      <c r="F70" s="131">
        <f t="shared" si="40"/>
        <v>47.117463333333333</v>
      </c>
      <c r="G70" s="766"/>
      <c r="Q70" s="690"/>
      <c r="R70" s="628"/>
      <c r="S70" s="657"/>
      <c r="T70" s="232" t="s">
        <v>125</v>
      </c>
      <c r="U70" s="122">
        <f>(AVERAGE(AC41:AD41))/10</f>
        <v>60.410235714285719</v>
      </c>
      <c r="V70" s="672"/>
      <c r="AF70" s="648"/>
      <c r="AG70" s="669"/>
      <c r="AH70" s="657"/>
      <c r="AI70" s="332" t="s">
        <v>119</v>
      </c>
      <c r="AJ70" s="122">
        <f>(AVERAGE(AL43:AL44))/10</f>
        <v>23.251029999999997</v>
      </c>
      <c r="AK70" s="743"/>
    </row>
    <row r="71" spans="2:37" x14ac:dyDescent="0.25">
      <c r="B71" s="690"/>
      <c r="C71" s="755"/>
      <c r="D71" s="751"/>
      <c r="E71" s="122" t="s">
        <v>48</v>
      </c>
      <c r="F71" s="131">
        <f t="shared" si="40"/>
        <v>73.461063333333328</v>
      </c>
      <c r="G71" s="766"/>
      <c r="Q71" s="690"/>
      <c r="R71" s="730"/>
      <c r="S71" s="658"/>
      <c r="T71" s="52" t="s">
        <v>126</v>
      </c>
      <c r="U71" s="139">
        <f>(AVERAGE(U42:V42))/10</f>
        <v>75.864735714285715</v>
      </c>
      <c r="V71" s="760"/>
      <c r="AF71" s="648"/>
      <c r="AG71" s="669"/>
      <c r="AH71" s="657"/>
      <c r="AI71" s="332" t="s">
        <v>120</v>
      </c>
      <c r="AJ71" s="122">
        <f>(AVERAGE(AM43:AM44))/10</f>
        <v>30.712789999999995</v>
      </c>
      <c r="AK71" s="743"/>
    </row>
    <row r="72" spans="2:37" ht="15.75" thickBot="1" x14ac:dyDescent="0.3">
      <c r="B72" s="691"/>
      <c r="C72" s="762"/>
      <c r="D72" s="631"/>
      <c r="E72" s="123" t="s">
        <v>49</v>
      </c>
      <c r="F72" s="142">
        <f>AVERAGE(L37:M37)/10</f>
        <v>67.972813333333335</v>
      </c>
      <c r="G72" s="768"/>
      <c r="Q72" s="690"/>
      <c r="R72" s="628" t="s">
        <v>128</v>
      </c>
      <c r="S72" s="657" t="s">
        <v>142</v>
      </c>
      <c r="T72" s="232" t="s">
        <v>117</v>
      </c>
      <c r="U72" s="122">
        <f>(AVERAGE(W42:X42))/10</f>
        <v>96.470735714285723</v>
      </c>
      <c r="V72" s="676">
        <f>AVERAGE(U72:U80)</f>
        <v>91.548191269841283</v>
      </c>
      <c r="AF72" s="648"/>
      <c r="AG72" s="669"/>
      <c r="AH72" s="657"/>
      <c r="AI72" s="332" t="s">
        <v>121</v>
      </c>
      <c r="AJ72" s="122">
        <f>(AVERAGE(AN43:AN44))/10</f>
        <v>30.712789999999995</v>
      </c>
      <c r="AK72" s="743"/>
    </row>
    <row r="73" spans="2:37" x14ac:dyDescent="0.25">
      <c r="Q73" s="690"/>
      <c r="R73" s="628"/>
      <c r="S73" s="657"/>
      <c r="T73" s="232" t="s">
        <v>118</v>
      </c>
      <c r="U73" s="122">
        <f>(AVERAGE(Y42:Z42))/10</f>
        <v>83.076835714285707</v>
      </c>
      <c r="V73" s="672"/>
      <c r="AF73" s="648"/>
      <c r="AG73" s="669"/>
      <c r="AH73" s="657"/>
      <c r="AI73" s="332" t="s">
        <v>122</v>
      </c>
      <c r="AJ73" s="122">
        <f>(AVERAGE(AO43:AO44))/10</f>
        <v>34.443669999999997</v>
      </c>
      <c r="AK73" s="743"/>
    </row>
    <row r="74" spans="2:37" x14ac:dyDescent="0.25">
      <c r="Q74" s="690"/>
      <c r="R74" s="628"/>
      <c r="S74" s="657"/>
      <c r="T74" s="232" t="s">
        <v>119</v>
      </c>
      <c r="U74" s="122">
        <f>(AVERAGE(AA42:AB42))/10</f>
        <v>110.89493571428572</v>
      </c>
      <c r="V74" s="672"/>
      <c r="AF74" s="648"/>
      <c r="AG74" s="669"/>
      <c r="AH74" s="657"/>
      <c r="AI74" s="332" t="s">
        <v>124</v>
      </c>
      <c r="AJ74" s="122">
        <f>(AVERAGE(AP43:AP44))/10</f>
        <v>31.17915</v>
      </c>
      <c r="AK74" s="743"/>
    </row>
    <row r="75" spans="2:37" x14ac:dyDescent="0.25">
      <c r="Q75" s="690"/>
      <c r="R75" s="628"/>
      <c r="S75" s="657"/>
      <c r="T75" s="232" t="s">
        <v>120</v>
      </c>
      <c r="U75" s="122">
        <f>(AVERAGE(AC42:AD42))/10</f>
        <v>75.349585714285723</v>
      </c>
      <c r="V75" s="672"/>
      <c r="AF75" s="648"/>
      <c r="AG75" s="669"/>
      <c r="AH75" s="666"/>
      <c r="AI75" s="329" t="s">
        <v>125</v>
      </c>
      <c r="AJ75" s="122">
        <f>(AVERAGE(AQ43:AQ44))/10</f>
        <v>30.712789999999995</v>
      </c>
      <c r="AK75" s="743"/>
    </row>
    <row r="76" spans="2:37" ht="15.75" thickBot="1" x14ac:dyDescent="0.3">
      <c r="Q76" s="690"/>
      <c r="R76" s="628"/>
      <c r="S76" s="657"/>
      <c r="T76" s="232" t="s">
        <v>121</v>
      </c>
      <c r="U76" s="122">
        <f>(AVERAGE(U43:V43))/10</f>
        <v>99.046485714285723</v>
      </c>
      <c r="V76" s="672"/>
      <c r="AF76" s="656"/>
      <c r="AG76" s="684"/>
      <c r="AH76" s="636"/>
      <c r="AI76" s="330" t="s">
        <v>126</v>
      </c>
      <c r="AJ76" s="123">
        <f>(AVERAGE(AR43:AR44))/10</f>
        <v>19.053789999999999</v>
      </c>
      <c r="AK76" s="749"/>
    </row>
    <row r="77" spans="2:37" x14ac:dyDescent="0.25">
      <c r="Q77" s="690"/>
      <c r="R77" s="628"/>
      <c r="S77" s="657"/>
      <c r="T77" s="232" t="s">
        <v>122</v>
      </c>
      <c r="U77" s="122">
        <f>(AVERAGE(W43:X43))/10</f>
        <v>84.107135714285704</v>
      </c>
      <c r="V77" s="672"/>
    </row>
    <row r="78" spans="2:37" x14ac:dyDescent="0.25">
      <c r="Q78" s="690"/>
      <c r="R78" s="628"/>
      <c r="S78" s="657"/>
      <c r="T78" s="232" t="s">
        <v>123</v>
      </c>
      <c r="U78" s="122">
        <f>(AVERAGE(Y43:Z43))/10</f>
        <v>105.74343571428571</v>
      </c>
      <c r="V78" s="672"/>
    </row>
    <row r="79" spans="2:37" x14ac:dyDescent="0.25">
      <c r="Q79" s="690"/>
      <c r="R79" s="628"/>
      <c r="S79" s="657"/>
      <c r="T79" s="232" t="s">
        <v>124</v>
      </c>
      <c r="U79" s="122">
        <f>(AVERAGE(AA43:AB43))/10</f>
        <v>85.137435714285715</v>
      </c>
      <c r="V79" s="672"/>
    </row>
    <row r="80" spans="2:37" ht="15.75" thickBot="1" x14ac:dyDescent="0.3">
      <c r="Q80" s="691"/>
      <c r="R80" s="629"/>
      <c r="S80" s="636"/>
      <c r="T80" s="233" t="s">
        <v>125</v>
      </c>
      <c r="U80" s="123">
        <f>(AVERAGE(AC43:AD43))/10</f>
        <v>84.107135714285704</v>
      </c>
      <c r="V80" s="703"/>
    </row>
  </sheetData>
  <mergeCells count="96">
    <mergeCell ref="G46:G49"/>
    <mergeCell ref="G50:G54"/>
    <mergeCell ref="G67:G72"/>
    <mergeCell ref="G61:G66"/>
    <mergeCell ref="G55:G60"/>
    <mergeCell ref="B1:O1"/>
    <mergeCell ref="B2:B10"/>
    <mergeCell ref="B11:H11"/>
    <mergeCell ref="I11:O11"/>
    <mergeCell ref="B12:B20"/>
    <mergeCell ref="B36:B44"/>
    <mergeCell ref="B21:B35"/>
    <mergeCell ref="C61:C66"/>
    <mergeCell ref="C67:C72"/>
    <mergeCell ref="D61:D66"/>
    <mergeCell ref="D67:D72"/>
    <mergeCell ref="B45:B72"/>
    <mergeCell ref="D55:D60"/>
    <mergeCell ref="C55:C60"/>
    <mergeCell ref="D50:D54"/>
    <mergeCell ref="C50:C54"/>
    <mergeCell ref="D46:D49"/>
    <mergeCell ref="C46:C49"/>
    <mergeCell ref="Q12:Q20"/>
    <mergeCell ref="Q21:Q35"/>
    <mergeCell ref="Q36:Q44"/>
    <mergeCell ref="Q1:AD1"/>
    <mergeCell ref="Q11:W11"/>
    <mergeCell ref="X11:AD11"/>
    <mergeCell ref="Q2:Q10"/>
    <mergeCell ref="Q45:Q80"/>
    <mergeCell ref="S46:S51"/>
    <mergeCell ref="S52:S57"/>
    <mergeCell ref="S58:S61"/>
    <mergeCell ref="S62:S71"/>
    <mergeCell ref="S72:S80"/>
    <mergeCell ref="R72:R80"/>
    <mergeCell ref="R62:R71"/>
    <mergeCell ref="R58:R61"/>
    <mergeCell ref="R52:R57"/>
    <mergeCell ref="R46:R51"/>
    <mergeCell ref="V72:V80"/>
    <mergeCell ref="V62:V71"/>
    <mergeCell ref="V58:V61"/>
    <mergeCell ref="V52:V57"/>
    <mergeCell ref="V46:V51"/>
    <mergeCell ref="AF2:AF10"/>
    <mergeCell ref="AF11:AL11"/>
    <mergeCell ref="AM11:AS11"/>
    <mergeCell ref="AF12:AF20"/>
    <mergeCell ref="AF21:AF35"/>
    <mergeCell ref="AG61:AG67"/>
    <mergeCell ref="AH68:AH76"/>
    <mergeCell ref="AG68:AG76"/>
    <mergeCell ref="AF45:AF76"/>
    <mergeCell ref="AF36:AF44"/>
    <mergeCell ref="AG46:AG55"/>
    <mergeCell ref="AH46:AH55"/>
    <mergeCell ref="AH56:AH60"/>
    <mergeCell ref="AG56:AG60"/>
    <mergeCell ref="AK68:AK76"/>
    <mergeCell ref="AK61:AK67"/>
    <mergeCell ref="AK56:AK60"/>
    <mergeCell ref="AK46:AK55"/>
    <mergeCell ref="AH61:AH67"/>
    <mergeCell ref="AU2:AU10"/>
    <mergeCell ref="AU11:BA11"/>
    <mergeCell ref="BB11:BH11"/>
    <mergeCell ref="AU12:AU20"/>
    <mergeCell ref="AU21:AU35"/>
    <mergeCell ref="AU36:AU44"/>
    <mergeCell ref="AZ46:AZ47"/>
    <mergeCell ref="AW46:AW47"/>
    <mergeCell ref="AW59:AW61"/>
    <mergeCell ref="AW53:AW57"/>
    <mergeCell ref="AW48:AW52"/>
    <mergeCell ref="AV46:AV61"/>
    <mergeCell ref="AU45:AU61"/>
    <mergeCell ref="AZ59:AZ61"/>
    <mergeCell ref="AZ53:AZ57"/>
    <mergeCell ref="AZ48:AZ52"/>
    <mergeCell ref="BJ2:BJ10"/>
    <mergeCell ref="BJ11:BP11"/>
    <mergeCell ref="BQ11:BW11"/>
    <mergeCell ref="BJ12:BJ20"/>
    <mergeCell ref="BJ21:BJ35"/>
    <mergeCell ref="BO46:BO49"/>
    <mergeCell ref="BO50:BO54"/>
    <mergeCell ref="BO55:BO62"/>
    <mergeCell ref="BJ36:BJ44"/>
    <mergeCell ref="BK46:BK54"/>
    <mergeCell ref="BL50:BL54"/>
    <mergeCell ref="BL46:BL49"/>
    <mergeCell ref="BJ45:BJ62"/>
    <mergeCell ref="BL55:BL62"/>
    <mergeCell ref="BK55:BK62"/>
  </mergeCells>
  <phoneticPr fontId="11" type="noConversion"/>
  <conditionalFormatting sqref="F46:F49">
    <cfRule type="cellIs" priority="5" operator="notBetween">
      <formula>$H$47</formula>
      <formula>$H$48</formula>
    </cfRule>
  </conditionalFormatting>
  <conditionalFormatting sqref="F50:F54">
    <cfRule type="cellIs" priority="4" operator="notBetween">
      <formula>$H$51</formula>
      <formula>$H$52</formula>
    </cfRule>
  </conditionalFormatting>
  <conditionalFormatting sqref="F55:F60">
    <cfRule type="cellIs" priority="3" operator="notBetween">
      <formula>$H$56</formula>
      <formula>$H$57</formula>
    </cfRule>
  </conditionalFormatting>
  <conditionalFormatting sqref="F61:F66">
    <cfRule type="cellIs" priority="2" operator="notBetween">
      <formula>$H$62</formula>
      <formula>$H$63</formula>
    </cfRule>
  </conditionalFormatting>
  <conditionalFormatting sqref="F67:F72">
    <cfRule type="cellIs" priority="1" operator="notBetween">
      <formula>$H$68</formula>
      <formula>$H$69</formula>
    </cfRule>
  </conditionalFormatting>
  <hyperlinks>
    <hyperlink ref="A1" location="'Table of Contents'!A1" display="Table of Contents" xr:uid="{EAA41828-7A7B-40EB-8722-73E655598CD5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F95B-AAE6-45C6-B290-4A5CD54A4DA9}">
  <dimension ref="A1:BW88"/>
  <sheetViews>
    <sheetView topLeftCell="AR36" zoomScaleNormal="100" workbookViewId="0">
      <selection activeCell="BJ53" sqref="BJ53:BO70"/>
    </sheetView>
  </sheetViews>
  <sheetFormatPr defaultRowHeight="15" x14ac:dyDescent="0.25"/>
  <cols>
    <col min="1" max="1" width="17" customWidth="1"/>
    <col min="2" max="2" width="13" customWidth="1"/>
    <col min="3" max="3" width="10.7109375" customWidth="1"/>
    <col min="6" max="6" width="9.5703125" bestFit="1" customWidth="1"/>
    <col min="7" max="7" width="10.7109375" bestFit="1" customWidth="1"/>
    <col min="17" max="17" width="11.5703125" customWidth="1"/>
    <col min="18" max="18" width="11.140625" customWidth="1"/>
    <col min="32" max="32" width="12.5703125" customWidth="1"/>
    <col min="48" max="48" width="11" customWidth="1"/>
    <col min="49" max="49" width="10.7109375" customWidth="1"/>
    <col min="62" max="62" width="12.42578125" customWidth="1"/>
    <col min="63" max="63" width="12.140625" customWidth="1"/>
    <col min="64" max="64" width="11.28515625" customWidth="1"/>
  </cols>
  <sheetData>
    <row r="1" spans="1:75" ht="15.75" thickBot="1" x14ac:dyDescent="0.3">
      <c r="A1" s="1" t="s">
        <v>9</v>
      </c>
      <c r="B1" s="704" t="s">
        <v>86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6"/>
      <c r="Q1" s="704" t="s">
        <v>140</v>
      </c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6"/>
    </row>
    <row r="2" spans="1:75" x14ac:dyDescent="0.25">
      <c r="B2" s="707" t="s">
        <v>102</v>
      </c>
      <c r="C2" s="18"/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20">
        <v>12</v>
      </c>
      <c r="Q2" s="707" t="s">
        <v>102</v>
      </c>
      <c r="R2" s="18"/>
      <c r="S2" s="19">
        <v>1</v>
      </c>
      <c r="T2" s="19">
        <v>2</v>
      </c>
      <c r="U2" s="19">
        <v>3</v>
      </c>
      <c r="V2" s="19">
        <v>4</v>
      </c>
      <c r="W2" s="19">
        <v>5</v>
      </c>
      <c r="X2" s="19">
        <v>6</v>
      </c>
      <c r="Y2" s="19">
        <v>7</v>
      </c>
      <c r="Z2" s="19">
        <v>8</v>
      </c>
      <c r="AA2" s="19">
        <v>9</v>
      </c>
      <c r="AB2" s="19">
        <v>10</v>
      </c>
      <c r="AC2" s="19">
        <v>11</v>
      </c>
      <c r="AD2" s="20">
        <v>12</v>
      </c>
      <c r="AF2" s="707" t="s">
        <v>102</v>
      </c>
      <c r="AG2" s="18"/>
      <c r="AH2" s="19">
        <v>1</v>
      </c>
      <c r="AI2" s="19">
        <v>2</v>
      </c>
      <c r="AJ2" s="19">
        <v>3</v>
      </c>
      <c r="AK2" s="19">
        <v>4</v>
      </c>
      <c r="AL2" s="19">
        <v>5</v>
      </c>
      <c r="AM2" s="19">
        <v>6</v>
      </c>
      <c r="AN2" s="19">
        <v>7</v>
      </c>
      <c r="AO2" s="19">
        <v>8</v>
      </c>
      <c r="AP2" s="19">
        <v>9</v>
      </c>
      <c r="AQ2" s="19">
        <v>10</v>
      </c>
      <c r="AR2" s="19">
        <v>11</v>
      </c>
      <c r="AS2" s="20">
        <v>12</v>
      </c>
      <c r="AU2" s="644" t="s">
        <v>102</v>
      </c>
      <c r="AV2" s="407"/>
      <c r="AW2" s="19">
        <v>1</v>
      </c>
      <c r="AX2" s="19">
        <v>2</v>
      </c>
      <c r="AY2" s="19">
        <v>3</v>
      </c>
      <c r="AZ2" s="19">
        <v>4</v>
      </c>
      <c r="BA2" s="19">
        <v>5</v>
      </c>
      <c r="BB2" s="19">
        <v>6</v>
      </c>
      <c r="BC2" s="19">
        <v>7</v>
      </c>
      <c r="BD2" s="19">
        <v>8</v>
      </c>
      <c r="BE2" s="19">
        <v>9</v>
      </c>
      <c r="BF2" s="19">
        <v>10</v>
      </c>
      <c r="BG2" s="19">
        <v>11</v>
      </c>
      <c r="BH2" s="20">
        <v>12</v>
      </c>
      <c r="BJ2" s="644" t="s">
        <v>102</v>
      </c>
      <c r="BK2" s="407"/>
      <c r="BL2" s="19">
        <v>1</v>
      </c>
      <c r="BM2" s="19">
        <v>2</v>
      </c>
      <c r="BN2" s="19">
        <v>3</v>
      </c>
      <c r="BO2" s="19">
        <v>4</v>
      </c>
      <c r="BP2" s="19">
        <v>5</v>
      </c>
      <c r="BQ2" s="19">
        <v>6</v>
      </c>
      <c r="BR2" s="19">
        <v>7</v>
      </c>
      <c r="BS2" s="19">
        <v>8</v>
      </c>
      <c r="BT2" s="19">
        <v>9</v>
      </c>
      <c r="BU2" s="19">
        <v>10</v>
      </c>
      <c r="BV2" s="19">
        <v>11</v>
      </c>
      <c r="BW2" s="20">
        <v>12</v>
      </c>
    </row>
    <row r="3" spans="1:75" x14ac:dyDescent="0.25">
      <c r="B3" s="708"/>
      <c r="C3" s="10" t="s">
        <v>13</v>
      </c>
      <c r="D3" s="27">
        <v>0.318</v>
      </c>
      <c r="E3" s="27">
        <v>0.318</v>
      </c>
      <c r="F3" s="27">
        <v>0.32500000000000001</v>
      </c>
      <c r="G3" s="27">
        <v>0.33500000000000002</v>
      </c>
      <c r="H3" s="17">
        <v>0.34</v>
      </c>
      <c r="I3" s="17">
        <v>0.34499999999999997</v>
      </c>
      <c r="J3" s="17">
        <v>0.34499999999999997</v>
      </c>
      <c r="K3" s="17">
        <v>0.34899999999999998</v>
      </c>
      <c r="L3" s="17">
        <v>0.35199999999999998</v>
      </c>
      <c r="M3" s="17">
        <v>0.35799999999999998</v>
      </c>
      <c r="N3" s="12">
        <v>4.8000000000000001E-2</v>
      </c>
      <c r="O3" s="21">
        <v>4.8000000000000001E-2</v>
      </c>
      <c r="P3" s="154"/>
      <c r="Q3" s="708"/>
      <c r="R3" s="10" t="s">
        <v>13</v>
      </c>
      <c r="S3" s="27">
        <v>0.32900000000000001</v>
      </c>
      <c r="T3" s="27">
        <v>0.33100000000000002</v>
      </c>
      <c r="U3" s="27">
        <v>0.32900000000000001</v>
      </c>
      <c r="V3" s="17">
        <v>0.33700000000000002</v>
      </c>
      <c r="W3" s="17">
        <v>0.33700000000000002</v>
      </c>
      <c r="X3" s="17">
        <v>0.34200000000000003</v>
      </c>
      <c r="Y3" s="17">
        <v>0.33900000000000002</v>
      </c>
      <c r="Z3" s="17">
        <v>0.34399999999999997</v>
      </c>
      <c r="AA3" s="17">
        <v>0.34799999999999998</v>
      </c>
      <c r="AB3" s="17">
        <v>0.35399999999999998</v>
      </c>
      <c r="AC3" s="27">
        <v>0.33100000000000002</v>
      </c>
      <c r="AD3" s="235">
        <v>0.32800000000000001</v>
      </c>
      <c r="AF3" s="708"/>
      <c r="AG3" s="10" t="s">
        <v>13</v>
      </c>
      <c r="AH3" s="27">
        <v>0.315</v>
      </c>
      <c r="AI3" s="27">
        <v>0.31900000000000001</v>
      </c>
      <c r="AJ3" s="27">
        <v>0.31900000000000001</v>
      </c>
      <c r="AK3" s="27">
        <v>0.32100000000000001</v>
      </c>
      <c r="AL3" s="27">
        <v>0.32100000000000001</v>
      </c>
      <c r="AM3" s="17">
        <v>0.33300000000000002</v>
      </c>
      <c r="AN3" s="17">
        <v>0.33400000000000002</v>
      </c>
      <c r="AO3" s="17">
        <v>0.34100000000000003</v>
      </c>
      <c r="AP3" s="17">
        <v>0.34599999999999997</v>
      </c>
      <c r="AQ3" s="17">
        <v>0.34699999999999998</v>
      </c>
      <c r="AR3" s="12">
        <v>4.7E-2</v>
      </c>
      <c r="AS3" s="21">
        <v>4.7E-2</v>
      </c>
      <c r="AU3" s="645"/>
      <c r="AV3" s="408" t="s">
        <v>13</v>
      </c>
      <c r="AW3" s="27">
        <v>0.32800000000000001</v>
      </c>
      <c r="AX3" s="27">
        <v>0.32900000000000001</v>
      </c>
      <c r="AY3" s="27">
        <v>0.33200000000000002</v>
      </c>
      <c r="AZ3" s="27">
        <v>0.33700000000000002</v>
      </c>
      <c r="BA3" s="27">
        <v>0.33800000000000002</v>
      </c>
      <c r="BB3" s="17">
        <v>0.34300000000000003</v>
      </c>
      <c r="BC3" s="17">
        <v>0.34200000000000003</v>
      </c>
      <c r="BD3" s="17">
        <v>0.35</v>
      </c>
      <c r="BE3" s="17">
        <v>0.35099999999999998</v>
      </c>
      <c r="BF3" s="17">
        <v>0.35499999999999998</v>
      </c>
      <c r="BG3" s="12">
        <v>4.8000000000000001E-2</v>
      </c>
      <c r="BH3" s="21">
        <v>4.8000000000000001E-2</v>
      </c>
      <c r="BJ3" s="645"/>
      <c r="BK3" s="408" t="s">
        <v>13</v>
      </c>
      <c r="BL3" s="27">
        <v>0.33</v>
      </c>
      <c r="BM3" s="27">
        <v>0.33100000000000002</v>
      </c>
      <c r="BN3" s="17">
        <v>0.33500000000000002</v>
      </c>
      <c r="BO3" s="17">
        <v>0.33700000000000002</v>
      </c>
      <c r="BP3" s="17">
        <v>0.34</v>
      </c>
      <c r="BQ3" s="17">
        <v>0.34899999999999998</v>
      </c>
      <c r="BR3" s="17">
        <v>0.33900000000000002</v>
      </c>
      <c r="BS3" s="17">
        <v>0.34399999999999997</v>
      </c>
      <c r="BT3" s="17">
        <v>0.35099999999999998</v>
      </c>
      <c r="BU3" s="17">
        <v>0.35599999999999998</v>
      </c>
      <c r="BV3" s="12">
        <v>4.7E-2</v>
      </c>
      <c r="BW3" s="21">
        <v>0.05</v>
      </c>
    </row>
    <row r="4" spans="1:75" x14ac:dyDescent="0.25">
      <c r="A4" t="s">
        <v>202</v>
      </c>
      <c r="B4" s="708"/>
      <c r="C4" s="10" t="s">
        <v>14</v>
      </c>
      <c r="D4" s="27">
        <v>0.32800000000000001</v>
      </c>
      <c r="E4" s="27">
        <v>0.33600000000000002</v>
      </c>
      <c r="F4" s="27">
        <v>0.33600000000000002</v>
      </c>
      <c r="G4" s="17">
        <v>0.33900000000000002</v>
      </c>
      <c r="H4" s="17">
        <v>0.33900000000000002</v>
      </c>
      <c r="I4" s="17">
        <v>0.34300000000000003</v>
      </c>
      <c r="J4" s="17">
        <v>0.34599999999999997</v>
      </c>
      <c r="K4" s="17">
        <v>0.35</v>
      </c>
      <c r="L4" s="17">
        <v>0.35499999999999998</v>
      </c>
      <c r="M4" s="17">
        <v>0.36</v>
      </c>
      <c r="N4" s="12">
        <v>4.8000000000000001E-2</v>
      </c>
      <c r="O4" s="21">
        <v>4.8000000000000001E-2</v>
      </c>
      <c r="P4" s="154"/>
      <c r="Q4" s="708"/>
      <c r="R4" s="10" t="s">
        <v>14</v>
      </c>
      <c r="S4" s="27">
        <v>0.33200000000000002</v>
      </c>
      <c r="T4" s="27">
        <v>0.32900000000000001</v>
      </c>
      <c r="U4" s="27">
        <v>0.33</v>
      </c>
      <c r="V4" s="27">
        <v>0.33200000000000002</v>
      </c>
      <c r="W4" s="17">
        <v>0.33700000000000002</v>
      </c>
      <c r="X4" s="17">
        <v>0.33900000000000002</v>
      </c>
      <c r="Y4" s="17">
        <v>0.33700000000000002</v>
      </c>
      <c r="Z4" s="17">
        <v>0.34599999999999997</v>
      </c>
      <c r="AA4" s="17">
        <v>0.34699999999999998</v>
      </c>
      <c r="AB4" s="17">
        <v>0.35499999999999998</v>
      </c>
      <c r="AC4" s="27">
        <v>0.32900000000000001</v>
      </c>
      <c r="AD4" s="235">
        <v>0.33</v>
      </c>
      <c r="AF4" s="708"/>
      <c r="AG4" s="10" t="s">
        <v>14</v>
      </c>
      <c r="AH4" s="27">
        <v>0.32</v>
      </c>
      <c r="AI4" s="27">
        <v>0.32300000000000001</v>
      </c>
      <c r="AJ4" s="31">
        <v>0.30099999999999999</v>
      </c>
      <c r="AK4" s="27">
        <v>0.32400000000000001</v>
      </c>
      <c r="AL4" s="27">
        <v>0.32800000000000001</v>
      </c>
      <c r="AM4" s="17">
        <v>0.33900000000000002</v>
      </c>
      <c r="AN4" s="17">
        <v>0.33500000000000002</v>
      </c>
      <c r="AO4" s="17">
        <v>0.34100000000000003</v>
      </c>
      <c r="AP4" s="17">
        <v>0.35099999999999998</v>
      </c>
      <c r="AQ4" s="17">
        <v>0.35099999999999998</v>
      </c>
      <c r="AR4" s="12">
        <v>4.8000000000000001E-2</v>
      </c>
      <c r="AS4" s="21">
        <v>4.8000000000000001E-2</v>
      </c>
      <c r="AU4" s="645"/>
      <c r="AV4" s="408" t="s">
        <v>14</v>
      </c>
      <c r="AW4" s="27">
        <v>0.32100000000000001</v>
      </c>
      <c r="AX4" s="27">
        <v>0.33300000000000002</v>
      </c>
      <c r="AY4" s="27">
        <v>0.33200000000000002</v>
      </c>
      <c r="AZ4" s="27">
        <v>0.33500000000000002</v>
      </c>
      <c r="BA4" s="17">
        <v>0.34</v>
      </c>
      <c r="BB4" s="17">
        <v>0.34499999999999997</v>
      </c>
      <c r="BC4" s="17">
        <v>0.34399999999999997</v>
      </c>
      <c r="BD4" s="17">
        <v>0.34799999999999998</v>
      </c>
      <c r="BE4" s="17">
        <v>0.35099999999999998</v>
      </c>
      <c r="BF4" s="17">
        <v>0.36099999999999999</v>
      </c>
      <c r="BG4" s="12">
        <v>4.8000000000000001E-2</v>
      </c>
      <c r="BH4" s="21">
        <v>4.8000000000000001E-2</v>
      </c>
      <c r="BJ4" s="645"/>
      <c r="BK4" s="408" t="s">
        <v>14</v>
      </c>
      <c r="BL4" s="27">
        <v>0.33100000000000002</v>
      </c>
      <c r="BM4" s="17">
        <v>0.33800000000000002</v>
      </c>
      <c r="BN4" s="17">
        <v>0.33600000000000002</v>
      </c>
      <c r="BO4" s="17">
        <v>0.33700000000000002</v>
      </c>
      <c r="BP4" s="17">
        <v>0.34200000000000003</v>
      </c>
      <c r="BQ4" s="17">
        <v>0.34599999999999997</v>
      </c>
      <c r="BR4" s="17">
        <v>0.34499999999999997</v>
      </c>
      <c r="BS4" s="17">
        <v>0.34699999999999998</v>
      </c>
      <c r="BT4" s="17">
        <v>0.35099999999999998</v>
      </c>
      <c r="BU4" s="17">
        <v>0.35599999999999998</v>
      </c>
      <c r="BV4" s="12">
        <v>4.7E-2</v>
      </c>
      <c r="BW4" s="21">
        <v>4.9000000000000002E-2</v>
      </c>
    </row>
    <row r="5" spans="1:75" x14ac:dyDescent="0.25">
      <c r="B5" s="708"/>
      <c r="C5" s="10" t="s">
        <v>15</v>
      </c>
      <c r="D5" s="27">
        <v>0.33100000000000002</v>
      </c>
      <c r="E5" s="27">
        <v>0.32900000000000001</v>
      </c>
      <c r="F5" s="27">
        <v>0.32500000000000001</v>
      </c>
      <c r="G5" s="27">
        <v>0.33</v>
      </c>
      <c r="H5" s="27">
        <v>0.33300000000000002</v>
      </c>
      <c r="I5" s="27">
        <v>0.33400000000000002</v>
      </c>
      <c r="J5" s="27">
        <v>0.33300000000000002</v>
      </c>
      <c r="K5" s="27">
        <v>0.33600000000000002</v>
      </c>
      <c r="L5" s="27">
        <v>0.33500000000000002</v>
      </c>
      <c r="M5" s="16">
        <v>0.255</v>
      </c>
      <c r="N5" s="12">
        <v>4.8000000000000001E-2</v>
      </c>
      <c r="O5" s="21">
        <v>4.8000000000000001E-2</v>
      </c>
      <c r="P5" s="154"/>
      <c r="Q5" s="708"/>
      <c r="R5" s="10" t="s">
        <v>15</v>
      </c>
      <c r="S5" s="27">
        <v>0.32900000000000001</v>
      </c>
      <c r="T5" s="27">
        <v>0.33200000000000002</v>
      </c>
      <c r="U5" s="27">
        <v>0.33100000000000002</v>
      </c>
      <c r="V5" s="27">
        <v>0.32800000000000001</v>
      </c>
      <c r="W5" s="27">
        <v>0.32800000000000001</v>
      </c>
      <c r="X5" s="27">
        <v>0.32900000000000001</v>
      </c>
      <c r="Y5" s="27">
        <v>0.33200000000000002</v>
      </c>
      <c r="Z5" s="27">
        <v>0.33</v>
      </c>
      <c r="AA5" s="17">
        <v>0.33400000000000002</v>
      </c>
      <c r="AB5" s="27">
        <v>0.32900000000000001</v>
      </c>
      <c r="AC5" s="17">
        <v>0.35499999999999998</v>
      </c>
      <c r="AD5" s="235">
        <v>0.33300000000000002</v>
      </c>
      <c r="AF5" s="708"/>
      <c r="AG5" s="10" t="s">
        <v>15</v>
      </c>
      <c r="AH5" s="31">
        <v>0.29399999999999998</v>
      </c>
      <c r="AI5" s="27">
        <v>0.318</v>
      </c>
      <c r="AJ5" s="27">
        <v>0.318</v>
      </c>
      <c r="AK5" s="27">
        <v>0.32</v>
      </c>
      <c r="AL5" s="27">
        <v>0.316</v>
      </c>
      <c r="AM5" s="27">
        <v>0.32300000000000001</v>
      </c>
      <c r="AN5" s="27">
        <v>0.317</v>
      </c>
      <c r="AO5" s="27">
        <v>0.316</v>
      </c>
      <c r="AP5" s="27">
        <v>0.32100000000000001</v>
      </c>
      <c r="AQ5" s="27">
        <v>0.316</v>
      </c>
      <c r="AR5" s="27">
        <v>0.32100000000000001</v>
      </c>
      <c r="AS5" s="235">
        <v>0.318</v>
      </c>
      <c r="AU5" s="645"/>
      <c r="AV5" s="408" t="s">
        <v>15</v>
      </c>
      <c r="AW5" s="27">
        <v>0.32400000000000001</v>
      </c>
      <c r="AX5" s="27">
        <v>0.32900000000000001</v>
      </c>
      <c r="AY5" s="27">
        <v>0.32900000000000001</v>
      </c>
      <c r="AZ5" s="27">
        <v>0.32800000000000001</v>
      </c>
      <c r="BA5" s="27">
        <v>0.33400000000000002</v>
      </c>
      <c r="BB5" s="27">
        <v>0.33300000000000002</v>
      </c>
      <c r="BC5" s="27">
        <v>0.33300000000000002</v>
      </c>
      <c r="BD5" s="27">
        <v>0.33400000000000002</v>
      </c>
      <c r="BE5" s="12">
        <v>4.8000000000000001E-2</v>
      </c>
      <c r="BF5" s="12">
        <v>4.8000000000000001E-2</v>
      </c>
      <c r="BG5" s="12">
        <v>4.8000000000000001E-2</v>
      </c>
      <c r="BH5" s="21">
        <v>4.8000000000000001E-2</v>
      </c>
      <c r="BJ5" s="645"/>
      <c r="BK5" s="408" t="s">
        <v>15</v>
      </c>
      <c r="BL5" s="27">
        <v>0.316</v>
      </c>
      <c r="BM5" s="27">
        <v>0.32400000000000001</v>
      </c>
      <c r="BN5" s="27">
        <v>0.32600000000000001</v>
      </c>
      <c r="BO5" s="27">
        <v>0.32500000000000001</v>
      </c>
      <c r="BP5" s="27">
        <v>0.32900000000000001</v>
      </c>
      <c r="BQ5" s="27">
        <v>0.31900000000000001</v>
      </c>
      <c r="BR5" s="27">
        <v>0.32100000000000001</v>
      </c>
      <c r="BS5" s="27">
        <v>0.32200000000000001</v>
      </c>
      <c r="BT5" s="12">
        <v>4.7E-2</v>
      </c>
      <c r="BU5" s="12">
        <v>4.7E-2</v>
      </c>
      <c r="BV5" s="12">
        <v>4.7E-2</v>
      </c>
      <c r="BW5" s="21">
        <v>4.9000000000000002E-2</v>
      </c>
    </row>
    <row r="6" spans="1:75" x14ac:dyDescent="0.25">
      <c r="B6" s="708"/>
      <c r="C6" s="10" t="s">
        <v>16</v>
      </c>
      <c r="D6" s="17">
        <v>0.34799999999999998</v>
      </c>
      <c r="E6" s="27">
        <v>0.33</v>
      </c>
      <c r="F6" s="27">
        <v>0.33200000000000002</v>
      </c>
      <c r="G6" s="27">
        <v>0.33400000000000002</v>
      </c>
      <c r="H6" s="27">
        <v>0.33300000000000002</v>
      </c>
      <c r="I6" s="17">
        <v>0.34</v>
      </c>
      <c r="J6" s="27">
        <v>0.33700000000000002</v>
      </c>
      <c r="K6" s="17">
        <v>0.33900000000000002</v>
      </c>
      <c r="L6" s="27">
        <v>0.33400000000000002</v>
      </c>
      <c r="M6" s="27">
        <v>0.33500000000000002</v>
      </c>
      <c r="N6" s="12">
        <v>4.8000000000000001E-2</v>
      </c>
      <c r="O6" s="21">
        <v>4.8000000000000001E-2</v>
      </c>
      <c r="P6" s="154"/>
      <c r="Q6" s="708"/>
      <c r="R6" s="10" t="s">
        <v>16</v>
      </c>
      <c r="S6" s="27">
        <v>0.32400000000000001</v>
      </c>
      <c r="T6" s="27">
        <v>0.32500000000000001</v>
      </c>
      <c r="U6" s="27">
        <v>0.32600000000000001</v>
      </c>
      <c r="V6" s="27">
        <v>0.32500000000000001</v>
      </c>
      <c r="W6" s="27">
        <v>0.32300000000000001</v>
      </c>
      <c r="X6" s="17">
        <v>0.33700000000000002</v>
      </c>
      <c r="Y6" s="27">
        <v>0.32800000000000001</v>
      </c>
      <c r="Z6" s="27">
        <v>0.32800000000000001</v>
      </c>
      <c r="AA6" s="27">
        <v>0.32600000000000001</v>
      </c>
      <c r="AB6" s="27">
        <v>0.33</v>
      </c>
      <c r="AC6" s="27">
        <v>0.32900000000000001</v>
      </c>
      <c r="AD6" s="235">
        <v>0.32900000000000001</v>
      </c>
      <c r="AF6" s="708"/>
      <c r="AG6" s="10" t="s">
        <v>16</v>
      </c>
      <c r="AH6" s="27">
        <v>0.32600000000000001</v>
      </c>
      <c r="AI6" s="27">
        <v>0.32700000000000001</v>
      </c>
      <c r="AJ6" s="27">
        <v>0.32800000000000001</v>
      </c>
      <c r="AK6" s="27">
        <v>0.32700000000000001</v>
      </c>
      <c r="AL6" s="17">
        <v>0.33200000000000002</v>
      </c>
      <c r="AM6" s="17">
        <v>0.33100000000000002</v>
      </c>
      <c r="AN6" s="17">
        <v>0.33300000000000002</v>
      </c>
      <c r="AO6" s="17">
        <v>0.33200000000000002</v>
      </c>
      <c r="AP6" s="17">
        <v>0.33</v>
      </c>
      <c r="AQ6" s="17">
        <v>0.33400000000000002</v>
      </c>
      <c r="AR6" s="27">
        <v>0.32900000000000001</v>
      </c>
      <c r="AS6" s="235">
        <v>0.32800000000000001</v>
      </c>
      <c r="AU6" s="645"/>
      <c r="AV6" s="408" t="s">
        <v>16</v>
      </c>
      <c r="AW6" s="27">
        <v>0.32600000000000001</v>
      </c>
      <c r="AX6" s="31">
        <v>0.316</v>
      </c>
      <c r="AY6" s="27">
        <v>0.32700000000000001</v>
      </c>
      <c r="AZ6" s="27">
        <v>0.32700000000000001</v>
      </c>
      <c r="BA6" s="27">
        <v>0.33400000000000002</v>
      </c>
      <c r="BB6" s="27">
        <v>0.33200000000000002</v>
      </c>
      <c r="BC6" s="27">
        <v>0.32900000000000001</v>
      </c>
      <c r="BD6" s="27">
        <v>0.32600000000000001</v>
      </c>
      <c r="BE6" s="12">
        <v>4.8000000000000001E-2</v>
      </c>
      <c r="BF6" s="12">
        <v>4.8000000000000001E-2</v>
      </c>
      <c r="BG6" s="12">
        <v>4.8000000000000001E-2</v>
      </c>
      <c r="BH6" s="21">
        <v>4.8000000000000001E-2</v>
      </c>
      <c r="BJ6" s="645"/>
      <c r="BK6" s="408" t="s">
        <v>16</v>
      </c>
      <c r="BL6" s="27">
        <v>0.32600000000000001</v>
      </c>
      <c r="BM6" s="27">
        <v>0.32100000000000001</v>
      </c>
      <c r="BN6" s="27">
        <v>0.32300000000000001</v>
      </c>
      <c r="BO6" s="27">
        <v>0.32300000000000001</v>
      </c>
      <c r="BP6" s="27">
        <v>0.32600000000000001</v>
      </c>
      <c r="BQ6" s="27">
        <v>0.32900000000000001</v>
      </c>
      <c r="BR6" s="27">
        <v>0.32500000000000001</v>
      </c>
      <c r="BS6" s="27">
        <v>0.32500000000000001</v>
      </c>
      <c r="BT6" s="12">
        <v>4.7E-2</v>
      </c>
      <c r="BU6" s="12">
        <v>4.7E-2</v>
      </c>
      <c r="BV6" s="12">
        <v>4.7E-2</v>
      </c>
      <c r="BW6" s="21">
        <v>0.05</v>
      </c>
    </row>
    <row r="7" spans="1:75" x14ac:dyDescent="0.25">
      <c r="B7" s="708"/>
      <c r="C7" s="10" t="s">
        <v>17</v>
      </c>
      <c r="D7" s="27">
        <v>0.33400000000000002</v>
      </c>
      <c r="E7" s="27">
        <v>0.33200000000000002</v>
      </c>
      <c r="F7" s="27">
        <v>0.33100000000000002</v>
      </c>
      <c r="G7" s="27">
        <v>0.33200000000000002</v>
      </c>
      <c r="H7" s="27">
        <v>0.33300000000000002</v>
      </c>
      <c r="I7" s="27">
        <v>0.33200000000000002</v>
      </c>
      <c r="J7" s="27">
        <v>0.33500000000000002</v>
      </c>
      <c r="K7" s="27">
        <v>0.33600000000000002</v>
      </c>
      <c r="L7" s="27">
        <v>0.33500000000000002</v>
      </c>
      <c r="M7" s="27">
        <v>0.33300000000000002</v>
      </c>
      <c r="N7" s="12">
        <v>4.8000000000000001E-2</v>
      </c>
      <c r="O7" s="21">
        <v>4.8000000000000001E-2</v>
      </c>
      <c r="P7" s="154"/>
      <c r="Q7" s="708"/>
      <c r="R7" s="10" t="s">
        <v>17</v>
      </c>
      <c r="S7" s="27">
        <v>0.32600000000000001</v>
      </c>
      <c r="T7" s="27">
        <v>0.33</v>
      </c>
      <c r="U7" s="27">
        <v>0.32700000000000001</v>
      </c>
      <c r="V7" s="27">
        <v>0.32100000000000001</v>
      </c>
      <c r="W7" s="27">
        <v>0.32600000000000001</v>
      </c>
      <c r="X7" s="27">
        <v>0.32900000000000001</v>
      </c>
      <c r="Y7" s="27">
        <v>0.33100000000000002</v>
      </c>
      <c r="Z7" s="27">
        <v>0.33</v>
      </c>
      <c r="AA7" s="27">
        <v>0.33</v>
      </c>
      <c r="AB7" s="27">
        <v>0.32700000000000001</v>
      </c>
      <c r="AC7" s="17">
        <v>0.33600000000000002</v>
      </c>
      <c r="AD7" s="235">
        <v>0.33200000000000002</v>
      </c>
      <c r="AF7" s="708"/>
      <c r="AG7" s="10" t="s">
        <v>17</v>
      </c>
      <c r="AH7" s="27">
        <v>0.32800000000000001</v>
      </c>
      <c r="AI7" s="27">
        <v>0.32500000000000001</v>
      </c>
      <c r="AJ7" s="27">
        <v>0.32100000000000001</v>
      </c>
      <c r="AK7" s="27">
        <v>0.32900000000000001</v>
      </c>
      <c r="AL7" s="17">
        <v>0.33400000000000002</v>
      </c>
      <c r="AM7" s="17">
        <v>0.33300000000000002</v>
      </c>
      <c r="AN7" s="27">
        <v>0.32700000000000001</v>
      </c>
      <c r="AO7" s="27">
        <v>0.32900000000000001</v>
      </c>
      <c r="AP7" s="17">
        <v>0.33500000000000002</v>
      </c>
      <c r="AQ7" s="27">
        <v>0.317</v>
      </c>
      <c r="AR7" s="27">
        <v>0.32900000000000001</v>
      </c>
      <c r="AS7" s="334">
        <v>0.33</v>
      </c>
      <c r="AU7" s="645"/>
      <c r="AV7" s="408" t="s">
        <v>17</v>
      </c>
      <c r="AW7" s="12">
        <v>4.8000000000000001E-2</v>
      </c>
      <c r="AX7" s="12">
        <v>4.8000000000000001E-2</v>
      </c>
      <c r="AY7" s="27">
        <v>0.33</v>
      </c>
      <c r="AZ7" s="27">
        <v>0.33200000000000002</v>
      </c>
      <c r="BA7" s="17">
        <v>0.33900000000000002</v>
      </c>
      <c r="BB7" s="17">
        <v>0.34300000000000003</v>
      </c>
      <c r="BC7" s="27">
        <v>0.33500000000000002</v>
      </c>
      <c r="BD7" s="27">
        <v>0.33</v>
      </c>
      <c r="BE7" s="12">
        <v>4.8000000000000001E-2</v>
      </c>
      <c r="BF7" s="12">
        <v>4.9000000000000002E-2</v>
      </c>
      <c r="BG7" s="12">
        <v>4.8000000000000001E-2</v>
      </c>
      <c r="BH7" s="21">
        <v>4.8000000000000001E-2</v>
      </c>
      <c r="BJ7" s="645"/>
      <c r="BK7" s="408" t="s">
        <v>17</v>
      </c>
      <c r="BL7" s="27">
        <v>0.318</v>
      </c>
      <c r="BM7" s="27">
        <v>0.32500000000000001</v>
      </c>
      <c r="BN7" s="27">
        <v>0.32700000000000001</v>
      </c>
      <c r="BO7" s="27">
        <v>0.32900000000000001</v>
      </c>
      <c r="BP7" s="17">
        <v>0.33900000000000002</v>
      </c>
      <c r="BQ7" s="27">
        <v>0.32700000000000001</v>
      </c>
      <c r="BR7" s="27">
        <v>0.33100000000000002</v>
      </c>
      <c r="BS7" s="27">
        <v>0.32700000000000001</v>
      </c>
      <c r="BT7" s="12">
        <v>4.2999999999999997E-2</v>
      </c>
      <c r="BU7" s="12">
        <v>4.7E-2</v>
      </c>
      <c r="BV7" s="12">
        <v>4.8000000000000001E-2</v>
      </c>
      <c r="BW7" s="21">
        <v>4.7E-2</v>
      </c>
    </row>
    <row r="8" spans="1:75" x14ac:dyDescent="0.25">
      <c r="B8" s="708"/>
      <c r="C8" s="10" t="s">
        <v>18</v>
      </c>
      <c r="D8" s="27">
        <v>0.32300000000000001</v>
      </c>
      <c r="E8" s="27">
        <v>0.32700000000000001</v>
      </c>
      <c r="F8" s="27">
        <v>0.32500000000000001</v>
      </c>
      <c r="G8" s="27">
        <v>0.32500000000000001</v>
      </c>
      <c r="H8" s="27">
        <v>0.32900000000000001</v>
      </c>
      <c r="I8" s="27">
        <v>0.33300000000000002</v>
      </c>
      <c r="J8" s="27">
        <v>0.33</v>
      </c>
      <c r="K8" s="27">
        <v>0.33300000000000002</v>
      </c>
      <c r="L8" s="27">
        <v>0.33400000000000002</v>
      </c>
      <c r="M8" s="27">
        <v>0.33700000000000002</v>
      </c>
      <c r="N8" s="12">
        <v>4.8000000000000001E-2</v>
      </c>
      <c r="O8" s="21">
        <v>4.8000000000000001E-2</v>
      </c>
      <c r="P8" s="154"/>
      <c r="Q8" s="708"/>
      <c r="R8" s="10" t="s">
        <v>18</v>
      </c>
      <c r="S8" s="17">
        <v>0.33400000000000002</v>
      </c>
      <c r="T8" s="27">
        <v>0.33300000000000002</v>
      </c>
      <c r="U8" s="27">
        <v>0.32700000000000001</v>
      </c>
      <c r="V8" s="27">
        <v>0.33100000000000002</v>
      </c>
      <c r="W8" s="27">
        <v>0.32900000000000001</v>
      </c>
      <c r="X8" s="27">
        <v>0.32500000000000001</v>
      </c>
      <c r="Y8" s="17">
        <v>0.33400000000000002</v>
      </c>
      <c r="Z8" s="27">
        <v>0.32800000000000001</v>
      </c>
      <c r="AA8" s="17">
        <v>0.33500000000000002</v>
      </c>
      <c r="AB8" s="27">
        <v>0.33</v>
      </c>
      <c r="AC8" s="27">
        <v>0.33100000000000002</v>
      </c>
      <c r="AD8" s="235">
        <v>0.33100000000000002</v>
      </c>
      <c r="AF8" s="708"/>
      <c r="AG8" s="10" t="s">
        <v>18</v>
      </c>
      <c r="AH8" s="27">
        <v>0.309</v>
      </c>
      <c r="AI8" s="31">
        <v>0.30499999999999999</v>
      </c>
      <c r="AJ8" s="16">
        <v>0.25900000000000001</v>
      </c>
      <c r="AK8" s="27">
        <v>0.32600000000000001</v>
      </c>
      <c r="AL8" s="27">
        <v>0.32700000000000001</v>
      </c>
      <c r="AM8" s="27">
        <v>0.32900000000000001</v>
      </c>
      <c r="AN8" s="27">
        <v>0.32700000000000001</v>
      </c>
      <c r="AO8" s="27">
        <v>0.32700000000000001</v>
      </c>
      <c r="AP8" s="27">
        <v>0.32500000000000001</v>
      </c>
      <c r="AQ8" s="27">
        <v>0.32400000000000001</v>
      </c>
      <c r="AR8" s="27">
        <v>0.32600000000000001</v>
      </c>
      <c r="AS8" s="235">
        <v>0.32300000000000001</v>
      </c>
      <c r="AU8" s="645"/>
      <c r="AV8" s="408" t="s">
        <v>18</v>
      </c>
      <c r="AW8" s="12">
        <v>4.8000000000000001E-2</v>
      </c>
      <c r="AX8" s="12">
        <v>4.8000000000000001E-2</v>
      </c>
      <c r="AY8" s="27">
        <v>0.33500000000000002</v>
      </c>
      <c r="AZ8" s="27">
        <v>0.33100000000000002</v>
      </c>
      <c r="BA8" s="27">
        <v>0.33200000000000002</v>
      </c>
      <c r="BB8" s="27">
        <v>0.33600000000000002</v>
      </c>
      <c r="BC8" s="27">
        <v>0.32800000000000001</v>
      </c>
      <c r="BD8" s="27">
        <v>0.32800000000000001</v>
      </c>
      <c r="BE8" s="12">
        <v>4.8000000000000001E-2</v>
      </c>
      <c r="BF8" s="12">
        <v>4.9000000000000002E-2</v>
      </c>
      <c r="BG8" s="12">
        <v>4.9000000000000002E-2</v>
      </c>
      <c r="BH8" s="21">
        <v>4.8000000000000001E-2</v>
      </c>
      <c r="BJ8" s="645"/>
      <c r="BK8" s="408" t="s">
        <v>18</v>
      </c>
      <c r="BL8" s="31">
        <v>0.308</v>
      </c>
      <c r="BM8" s="27">
        <v>0.32700000000000001</v>
      </c>
      <c r="BN8" s="27">
        <v>0.32700000000000001</v>
      </c>
      <c r="BO8" s="27">
        <v>0.32600000000000001</v>
      </c>
      <c r="BP8" s="27">
        <v>0.32900000000000001</v>
      </c>
      <c r="BQ8" s="27">
        <v>0.33300000000000002</v>
      </c>
      <c r="BR8" s="27">
        <v>0.32600000000000001</v>
      </c>
      <c r="BS8" s="27">
        <v>0.32</v>
      </c>
      <c r="BT8" s="12">
        <v>4.7E-2</v>
      </c>
      <c r="BU8" s="12">
        <v>4.7E-2</v>
      </c>
      <c r="BV8" s="12">
        <v>4.7E-2</v>
      </c>
      <c r="BW8" s="21">
        <v>4.7E-2</v>
      </c>
    </row>
    <row r="9" spans="1:75" x14ac:dyDescent="0.25">
      <c r="B9" s="708"/>
      <c r="C9" s="10" t="s">
        <v>19</v>
      </c>
      <c r="D9" s="12">
        <v>4.8000000000000001E-2</v>
      </c>
      <c r="E9" s="12">
        <v>4.9000000000000002E-2</v>
      </c>
      <c r="F9" s="27">
        <v>0.33200000000000002</v>
      </c>
      <c r="G9" s="27">
        <v>0.32800000000000001</v>
      </c>
      <c r="H9" s="27">
        <v>0.33600000000000002</v>
      </c>
      <c r="I9" s="27">
        <v>0.33500000000000002</v>
      </c>
      <c r="J9" s="27">
        <v>0.33600000000000002</v>
      </c>
      <c r="K9" s="17">
        <v>0.33800000000000002</v>
      </c>
      <c r="L9" s="17">
        <v>0.33900000000000002</v>
      </c>
      <c r="M9" s="27">
        <v>0.33600000000000002</v>
      </c>
      <c r="N9" s="12">
        <v>4.8000000000000001E-2</v>
      </c>
      <c r="O9" s="21">
        <v>4.8000000000000001E-2</v>
      </c>
      <c r="P9" s="154"/>
      <c r="Q9" s="708"/>
      <c r="R9" s="10" t="s">
        <v>19</v>
      </c>
      <c r="S9" s="27">
        <v>0.32600000000000001</v>
      </c>
      <c r="T9" s="27">
        <v>0.33100000000000002</v>
      </c>
      <c r="U9" s="27">
        <v>0.33</v>
      </c>
      <c r="V9" s="27">
        <v>0.32700000000000001</v>
      </c>
      <c r="W9" s="12">
        <v>4.8000000000000001E-2</v>
      </c>
      <c r="X9" s="12">
        <v>4.9000000000000002E-2</v>
      </c>
      <c r="Y9" s="27">
        <v>0.33200000000000002</v>
      </c>
      <c r="Z9" s="27">
        <v>0.33</v>
      </c>
      <c r="AA9" s="27">
        <v>0.33300000000000002</v>
      </c>
      <c r="AB9" s="17">
        <v>0.33500000000000002</v>
      </c>
      <c r="AC9" s="27">
        <v>0.33200000000000002</v>
      </c>
      <c r="AD9" s="235">
        <v>0.33</v>
      </c>
      <c r="AF9" s="708"/>
      <c r="AG9" s="10" t="s">
        <v>19</v>
      </c>
      <c r="AH9" s="27">
        <v>0.316</v>
      </c>
      <c r="AI9" s="27">
        <v>0.31</v>
      </c>
      <c r="AJ9" s="27">
        <v>0.313</v>
      </c>
      <c r="AK9" s="27">
        <v>0.32500000000000001</v>
      </c>
      <c r="AL9" s="27">
        <v>0.32700000000000001</v>
      </c>
      <c r="AM9" s="27">
        <v>0.32400000000000001</v>
      </c>
      <c r="AN9" s="27">
        <v>0.32500000000000001</v>
      </c>
      <c r="AO9" s="27">
        <v>0.32300000000000001</v>
      </c>
      <c r="AP9" s="17">
        <v>0.33</v>
      </c>
      <c r="AQ9" s="27">
        <v>0.31900000000000001</v>
      </c>
      <c r="AR9" s="12">
        <v>4.8000000000000001E-2</v>
      </c>
      <c r="AS9" s="21">
        <v>4.9000000000000002E-2</v>
      </c>
      <c r="AU9" s="645"/>
      <c r="AV9" s="408" t="s">
        <v>19</v>
      </c>
      <c r="AW9" s="12">
        <v>4.8000000000000001E-2</v>
      </c>
      <c r="AX9" s="12">
        <v>4.8000000000000001E-2</v>
      </c>
      <c r="AY9" s="27">
        <v>0.33400000000000002</v>
      </c>
      <c r="AZ9" s="27">
        <v>0.33700000000000002</v>
      </c>
      <c r="BA9" s="27">
        <v>0.33300000000000002</v>
      </c>
      <c r="BB9" s="17">
        <v>0.33900000000000002</v>
      </c>
      <c r="BC9" s="12">
        <v>4.9000000000000002E-2</v>
      </c>
      <c r="BD9" s="12">
        <v>4.9000000000000002E-2</v>
      </c>
      <c r="BE9" s="12">
        <v>4.8000000000000001E-2</v>
      </c>
      <c r="BF9" s="12">
        <v>4.8000000000000001E-2</v>
      </c>
      <c r="BG9" s="12">
        <v>4.8000000000000001E-2</v>
      </c>
      <c r="BH9" s="21">
        <v>4.8000000000000001E-2</v>
      </c>
      <c r="BJ9" s="645"/>
      <c r="BK9" s="408" t="s">
        <v>19</v>
      </c>
      <c r="BL9" s="12">
        <v>4.8000000000000001E-2</v>
      </c>
      <c r="BM9" s="12">
        <v>4.7E-2</v>
      </c>
      <c r="BN9" s="27">
        <v>0.32800000000000001</v>
      </c>
      <c r="BO9" s="27">
        <v>0.32500000000000001</v>
      </c>
      <c r="BP9" s="12">
        <v>4.7E-2</v>
      </c>
      <c r="BQ9" s="12">
        <v>4.7E-2</v>
      </c>
      <c r="BR9" s="12">
        <v>4.8000000000000001E-2</v>
      </c>
      <c r="BS9" s="12">
        <v>4.7E-2</v>
      </c>
      <c r="BT9" s="12">
        <v>4.7E-2</v>
      </c>
      <c r="BU9" s="12">
        <v>4.7E-2</v>
      </c>
      <c r="BV9" s="12">
        <v>4.7E-2</v>
      </c>
      <c r="BW9" s="21">
        <v>4.8000000000000001E-2</v>
      </c>
    </row>
    <row r="10" spans="1:75" ht="15.75" thickBot="1" x14ac:dyDescent="0.3">
      <c r="B10" s="709"/>
      <c r="C10" s="22" t="s">
        <v>20</v>
      </c>
      <c r="D10" s="24">
        <v>4.9000000000000002E-2</v>
      </c>
      <c r="E10" s="24">
        <v>4.9000000000000002E-2</v>
      </c>
      <c r="F10" s="24">
        <v>4.8000000000000001E-2</v>
      </c>
      <c r="G10" s="24">
        <v>4.8000000000000001E-2</v>
      </c>
      <c r="H10" s="155">
        <v>0.32300000000000001</v>
      </c>
      <c r="I10" s="155">
        <v>0.33200000000000002</v>
      </c>
      <c r="J10" s="155">
        <v>0.33100000000000002</v>
      </c>
      <c r="K10" s="155">
        <v>0.32800000000000001</v>
      </c>
      <c r="L10" s="155">
        <v>0.33200000000000002</v>
      </c>
      <c r="M10" s="155">
        <v>0.33400000000000002</v>
      </c>
      <c r="N10" s="24">
        <v>4.8000000000000001E-2</v>
      </c>
      <c r="O10" s="25">
        <v>4.8000000000000001E-2</v>
      </c>
      <c r="P10" s="154"/>
      <c r="Q10" s="709"/>
      <c r="R10" s="22" t="s">
        <v>20</v>
      </c>
      <c r="S10" s="155">
        <v>0.32200000000000001</v>
      </c>
      <c r="T10" s="155">
        <v>0.32800000000000001</v>
      </c>
      <c r="U10" s="155">
        <v>0.32300000000000001</v>
      </c>
      <c r="V10" s="155">
        <v>0.32800000000000001</v>
      </c>
      <c r="W10" s="24">
        <v>4.8000000000000001E-2</v>
      </c>
      <c r="X10" s="24">
        <v>4.9000000000000002E-2</v>
      </c>
      <c r="Y10" s="155">
        <v>0.33200000000000002</v>
      </c>
      <c r="Z10" s="155">
        <v>0.32500000000000001</v>
      </c>
      <c r="AA10" s="155">
        <v>0.33</v>
      </c>
      <c r="AB10" s="155">
        <v>0.33200000000000002</v>
      </c>
      <c r="AC10" s="24">
        <v>0.05</v>
      </c>
      <c r="AD10" s="25">
        <v>4.9000000000000002E-2</v>
      </c>
      <c r="AF10" s="708"/>
      <c r="AG10" s="159" t="s">
        <v>20</v>
      </c>
      <c r="AH10" s="314">
        <v>4.9000000000000002E-2</v>
      </c>
      <c r="AI10" s="314">
        <v>4.9000000000000002E-2</v>
      </c>
      <c r="AJ10" s="314">
        <v>4.8000000000000001E-2</v>
      </c>
      <c r="AK10" s="314">
        <v>4.8000000000000001E-2</v>
      </c>
      <c r="AL10" s="314">
        <v>4.8000000000000001E-2</v>
      </c>
      <c r="AM10" s="314">
        <v>4.9000000000000002E-2</v>
      </c>
      <c r="AN10" s="335">
        <v>0.312</v>
      </c>
      <c r="AO10" s="335">
        <v>0.31900000000000001</v>
      </c>
      <c r="AP10" s="336">
        <v>0.30399999999999999</v>
      </c>
      <c r="AQ10" s="335">
        <v>0.32400000000000001</v>
      </c>
      <c r="AR10" s="314">
        <v>4.8000000000000001E-2</v>
      </c>
      <c r="AS10" s="321">
        <v>4.8000000000000001E-2</v>
      </c>
      <c r="AU10" s="646"/>
      <c r="AV10" s="409" t="s">
        <v>20</v>
      </c>
      <c r="AW10" s="24">
        <v>4.8000000000000001E-2</v>
      </c>
      <c r="AX10" s="24">
        <v>4.9000000000000002E-2</v>
      </c>
      <c r="AY10" s="24">
        <v>4.8000000000000001E-2</v>
      </c>
      <c r="AZ10" s="24">
        <v>4.8000000000000001E-2</v>
      </c>
      <c r="BA10" s="24">
        <v>4.9000000000000002E-2</v>
      </c>
      <c r="BB10" s="24">
        <v>4.9000000000000002E-2</v>
      </c>
      <c r="BC10" s="24">
        <v>4.8000000000000001E-2</v>
      </c>
      <c r="BD10" s="24">
        <v>4.8000000000000001E-2</v>
      </c>
      <c r="BE10" s="24">
        <v>4.9000000000000002E-2</v>
      </c>
      <c r="BF10" s="24">
        <v>4.8000000000000001E-2</v>
      </c>
      <c r="BG10" s="24">
        <v>4.8000000000000001E-2</v>
      </c>
      <c r="BH10" s="25">
        <v>4.9000000000000002E-2</v>
      </c>
      <c r="BJ10" s="646"/>
      <c r="BK10" s="409" t="s">
        <v>20</v>
      </c>
      <c r="BL10" s="24">
        <v>4.8000000000000001E-2</v>
      </c>
      <c r="BM10" s="24">
        <v>4.8000000000000001E-2</v>
      </c>
      <c r="BN10" s="24">
        <v>4.7E-2</v>
      </c>
      <c r="BO10" s="24">
        <v>4.7E-2</v>
      </c>
      <c r="BP10" s="24">
        <v>4.7E-2</v>
      </c>
      <c r="BQ10" s="24">
        <v>4.8000000000000001E-2</v>
      </c>
      <c r="BR10" s="24">
        <v>4.7E-2</v>
      </c>
      <c r="BS10" s="24">
        <v>4.7E-2</v>
      </c>
      <c r="BT10" s="24">
        <v>4.7E-2</v>
      </c>
      <c r="BU10" s="24">
        <v>4.7E-2</v>
      </c>
      <c r="BV10" s="24">
        <v>4.8000000000000001E-2</v>
      </c>
      <c r="BW10" s="25">
        <v>4.8000000000000001E-2</v>
      </c>
    </row>
    <row r="11" spans="1:75" x14ac:dyDescent="0.25">
      <c r="B11" s="707" t="s">
        <v>103</v>
      </c>
      <c r="C11" s="18"/>
      <c r="D11" s="19">
        <v>1</v>
      </c>
      <c r="E11" s="19">
        <v>2</v>
      </c>
      <c r="F11" s="19">
        <v>3</v>
      </c>
      <c r="G11" s="19">
        <v>4</v>
      </c>
      <c r="H11" s="19">
        <v>5</v>
      </c>
      <c r="I11" s="19">
        <v>6</v>
      </c>
      <c r="J11" s="19">
        <v>7</v>
      </c>
      <c r="K11" s="19">
        <v>8</v>
      </c>
      <c r="L11" s="19">
        <v>9</v>
      </c>
      <c r="M11" s="19">
        <v>10</v>
      </c>
      <c r="N11" s="19">
        <v>11</v>
      </c>
      <c r="O11" s="20">
        <v>12</v>
      </c>
      <c r="Q11" s="707" t="s">
        <v>103</v>
      </c>
      <c r="R11" s="18"/>
      <c r="S11" s="19">
        <v>1</v>
      </c>
      <c r="T11" s="19">
        <v>2</v>
      </c>
      <c r="U11" s="19">
        <v>3</v>
      </c>
      <c r="V11" s="19">
        <v>4</v>
      </c>
      <c r="W11" s="19">
        <v>5</v>
      </c>
      <c r="X11" s="19">
        <v>6</v>
      </c>
      <c r="Y11" s="19">
        <v>7</v>
      </c>
      <c r="Z11" s="19">
        <v>8</v>
      </c>
      <c r="AA11" s="19">
        <v>9</v>
      </c>
      <c r="AB11" s="19">
        <v>10</v>
      </c>
      <c r="AC11" s="19">
        <v>11</v>
      </c>
      <c r="AD11" s="20">
        <v>12</v>
      </c>
      <c r="AF11" s="707" t="s">
        <v>103</v>
      </c>
      <c r="AG11" s="18"/>
      <c r="AH11" s="19">
        <v>1</v>
      </c>
      <c r="AI11" s="19">
        <v>2</v>
      </c>
      <c r="AJ11" s="19">
        <v>3</v>
      </c>
      <c r="AK11" s="19">
        <v>4</v>
      </c>
      <c r="AL11" s="19">
        <v>5</v>
      </c>
      <c r="AM11" s="19">
        <v>6</v>
      </c>
      <c r="AN11" s="19">
        <v>7</v>
      </c>
      <c r="AO11" s="19">
        <v>8</v>
      </c>
      <c r="AP11" s="19">
        <v>9</v>
      </c>
      <c r="AQ11" s="19">
        <v>10</v>
      </c>
      <c r="AR11" s="19">
        <v>11</v>
      </c>
      <c r="AS11" s="20">
        <v>12</v>
      </c>
      <c r="AU11" s="644" t="s">
        <v>103</v>
      </c>
      <c r="AV11" s="407"/>
      <c r="AW11" s="19">
        <v>1</v>
      </c>
      <c r="AX11" s="19">
        <v>2</v>
      </c>
      <c r="AY11" s="19">
        <v>3</v>
      </c>
      <c r="AZ11" s="19">
        <v>4</v>
      </c>
      <c r="BA11" s="19">
        <v>5</v>
      </c>
      <c r="BB11" s="19">
        <v>6</v>
      </c>
      <c r="BC11" s="19">
        <v>7</v>
      </c>
      <c r="BD11" s="19">
        <v>8</v>
      </c>
      <c r="BE11" s="19">
        <v>9</v>
      </c>
      <c r="BF11" s="19">
        <v>10</v>
      </c>
      <c r="BG11" s="19">
        <v>11</v>
      </c>
      <c r="BH11" s="20">
        <v>12</v>
      </c>
      <c r="BJ11" s="644" t="s">
        <v>103</v>
      </c>
      <c r="BK11" s="407"/>
      <c r="BL11" s="19">
        <v>1</v>
      </c>
      <c r="BM11" s="19">
        <v>2</v>
      </c>
      <c r="BN11" s="19">
        <v>3</v>
      </c>
      <c r="BO11" s="19">
        <v>4</v>
      </c>
      <c r="BP11" s="19">
        <v>5</v>
      </c>
      <c r="BQ11" s="19">
        <v>6</v>
      </c>
      <c r="BR11" s="19">
        <v>7</v>
      </c>
      <c r="BS11" s="19">
        <v>8</v>
      </c>
      <c r="BT11" s="19">
        <v>9</v>
      </c>
      <c r="BU11" s="19">
        <v>10</v>
      </c>
      <c r="BV11" s="19">
        <v>11</v>
      </c>
      <c r="BW11" s="20">
        <v>12</v>
      </c>
    </row>
    <row r="12" spans="1:75" x14ac:dyDescent="0.25">
      <c r="B12" s="708"/>
      <c r="C12" s="10" t="s">
        <v>13</v>
      </c>
      <c r="D12" s="17">
        <v>0.86</v>
      </c>
      <c r="E12" s="17">
        <v>0.85399999999999998</v>
      </c>
      <c r="F12" s="17">
        <v>0.87</v>
      </c>
      <c r="G12" s="17">
        <v>0.88600000000000001</v>
      </c>
      <c r="H12" s="17">
        <v>0.878</v>
      </c>
      <c r="I12" s="17">
        <v>0.875</v>
      </c>
      <c r="J12" s="17">
        <v>0.86399999999999999</v>
      </c>
      <c r="K12" s="17">
        <v>0.85199999999999998</v>
      </c>
      <c r="L12" s="27">
        <v>0.83799999999999997</v>
      </c>
      <c r="M12" s="27">
        <v>0.83</v>
      </c>
      <c r="N12" s="12">
        <v>4.7E-2</v>
      </c>
      <c r="O12" s="21">
        <v>4.7E-2</v>
      </c>
      <c r="Q12" s="708"/>
      <c r="R12" s="10" t="s">
        <v>13</v>
      </c>
      <c r="S12" s="17">
        <v>0.89600000000000002</v>
      </c>
      <c r="T12" s="17">
        <v>0.90100000000000002</v>
      </c>
      <c r="U12" s="17">
        <v>0.89200000000000002</v>
      </c>
      <c r="V12" s="17">
        <v>0.89700000000000002</v>
      </c>
      <c r="W12" s="17">
        <v>0.875</v>
      </c>
      <c r="X12" s="17">
        <v>0.86499999999999999</v>
      </c>
      <c r="Y12" s="17">
        <v>0.85199999999999998</v>
      </c>
      <c r="Z12" s="17">
        <v>0.84199999999999997</v>
      </c>
      <c r="AA12" s="27">
        <v>0.82499999999999996</v>
      </c>
      <c r="AB12" s="27">
        <v>0.80900000000000005</v>
      </c>
      <c r="AC12" s="27">
        <v>0.82699999999999996</v>
      </c>
      <c r="AD12" s="235">
        <v>0.82299999999999995</v>
      </c>
      <c r="AF12" s="708"/>
      <c r="AG12" s="10" t="s">
        <v>13</v>
      </c>
      <c r="AH12" s="17">
        <v>0.88100000000000001</v>
      </c>
      <c r="AI12" s="17">
        <v>0.88900000000000001</v>
      </c>
      <c r="AJ12" s="17">
        <v>0.88400000000000001</v>
      </c>
      <c r="AK12" s="17">
        <v>0.873</v>
      </c>
      <c r="AL12" s="17">
        <v>0.85</v>
      </c>
      <c r="AM12" s="17">
        <v>0.87</v>
      </c>
      <c r="AN12" s="17">
        <v>0.85899999999999999</v>
      </c>
      <c r="AO12" s="17">
        <v>0.84799999999999998</v>
      </c>
      <c r="AP12" s="27">
        <v>0.83399999999999996</v>
      </c>
      <c r="AQ12" s="27">
        <v>0.81299999999999994</v>
      </c>
      <c r="AR12" s="12">
        <v>4.7E-2</v>
      </c>
      <c r="AS12" s="21">
        <v>4.5999999999999999E-2</v>
      </c>
      <c r="AU12" s="645"/>
      <c r="AV12" s="408" t="s">
        <v>13</v>
      </c>
      <c r="AW12" s="17">
        <v>0.89800000000000002</v>
      </c>
      <c r="AX12" s="17">
        <v>0.89300000000000002</v>
      </c>
      <c r="AY12" s="17">
        <v>0.89200000000000002</v>
      </c>
      <c r="AZ12" s="17">
        <v>0.88900000000000001</v>
      </c>
      <c r="BA12" s="17">
        <v>0.86799999999999999</v>
      </c>
      <c r="BB12" s="17">
        <v>0.86799999999999999</v>
      </c>
      <c r="BC12" s="17">
        <v>0.85499999999999998</v>
      </c>
      <c r="BD12" s="17">
        <v>0.85</v>
      </c>
      <c r="BE12" s="27">
        <v>0.82599999999999996</v>
      </c>
      <c r="BF12" s="27">
        <v>0.81299999999999994</v>
      </c>
      <c r="BG12" s="12">
        <v>4.7E-2</v>
      </c>
      <c r="BH12" s="21">
        <v>4.7E-2</v>
      </c>
      <c r="BJ12" s="645"/>
      <c r="BK12" s="408" t="s">
        <v>13</v>
      </c>
      <c r="BL12" s="17">
        <v>0.94399999999999995</v>
      </c>
      <c r="BM12" s="17">
        <v>0.93799999999999994</v>
      </c>
      <c r="BN12" s="17">
        <v>0.94599999999999995</v>
      </c>
      <c r="BO12" s="17">
        <v>0.93600000000000005</v>
      </c>
      <c r="BP12" s="17">
        <v>0.92600000000000005</v>
      </c>
      <c r="BQ12" s="17">
        <v>0.92300000000000004</v>
      </c>
      <c r="BR12" s="17">
        <v>0.89900000000000002</v>
      </c>
      <c r="BS12" s="17">
        <v>0.88900000000000001</v>
      </c>
      <c r="BT12" s="27">
        <v>0.877</v>
      </c>
      <c r="BU12" s="27">
        <v>0.86099999999999999</v>
      </c>
      <c r="BV12" s="12">
        <v>4.5999999999999999E-2</v>
      </c>
      <c r="BW12" s="21">
        <v>4.9000000000000002E-2</v>
      </c>
    </row>
    <row r="13" spans="1:75" x14ac:dyDescent="0.25">
      <c r="B13" s="708"/>
      <c r="C13" s="10" t="s">
        <v>14</v>
      </c>
      <c r="D13" s="17">
        <v>0.89200000000000002</v>
      </c>
      <c r="E13" s="17">
        <v>0.9</v>
      </c>
      <c r="F13" s="17">
        <v>0.9</v>
      </c>
      <c r="G13" s="17">
        <v>0.89700000000000002</v>
      </c>
      <c r="H13" s="17">
        <v>0.874</v>
      </c>
      <c r="I13" s="17">
        <v>0.871</v>
      </c>
      <c r="J13" s="17">
        <v>0.86299999999999999</v>
      </c>
      <c r="K13" s="17">
        <v>0.85199999999999998</v>
      </c>
      <c r="L13" s="17">
        <v>0.84599999999999997</v>
      </c>
      <c r="M13" s="27">
        <v>0.82899999999999996</v>
      </c>
      <c r="N13" s="12">
        <v>4.7E-2</v>
      </c>
      <c r="O13" s="21">
        <v>4.7E-2</v>
      </c>
      <c r="P13" s="154"/>
      <c r="Q13" s="708"/>
      <c r="R13" s="10" t="s">
        <v>14</v>
      </c>
      <c r="S13" s="17">
        <v>0.89800000000000002</v>
      </c>
      <c r="T13" s="17">
        <v>0.89300000000000002</v>
      </c>
      <c r="U13" s="17">
        <v>0.88800000000000001</v>
      </c>
      <c r="V13" s="17">
        <v>0.88</v>
      </c>
      <c r="W13" s="17">
        <v>0.874</v>
      </c>
      <c r="X13" s="17">
        <v>0.86499999999999999</v>
      </c>
      <c r="Y13" s="17">
        <v>0.84599999999999997</v>
      </c>
      <c r="Z13" s="17">
        <v>0.84599999999999997</v>
      </c>
      <c r="AA13" s="27">
        <v>0.82</v>
      </c>
      <c r="AB13" s="27">
        <v>0.81200000000000006</v>
      </c>
      <c r="AC13" s="27">
        <v>0.83699999999999997</v>
      </c>
      <c r="AD13" s="235">
        <v>0.84</v>
      </c>
      <c r="AF13" s="708"/>
      <c r="AG13" s="10" t="s">
        <v>14</v>
      </c>
      <c r="AH13" s="17">
        <v>0.89600000000000002</v>
      </c>
      <c r="AI13" s="17">
        <v>0.89400000000000002</v>
      </c>
      <c r="AJ13" s="27">
        <v>0.82399999999999995</v>
      </c>
      <c r="AK13" s="17">
        <v>0.879</v>
      </c>
      <c r="AL13" s="17">
        <v>0.86499999999999999</v>
      </c>
      <c r="AM13" s="17">
        <v>0.874</v>
      </c>
      <c r="AN13" s="17">
        <v>0.85699999999999998</v>
      </c>
      <c r="AO13" s="17">
        <v>0.84499999999999997</v>
      </c>
      <c r="AP13" s="17">
        <v>0.84</v>
      </c>
      <c r="AQ13" s="27">
        <v>0.79500000000000004</v>
      </c>
      <c r="AR13" s="12">
        <v>4.7E-2</v>
      </c>
      <c r="AS13" s="21">
        <v>4.7E-2</v>
      </c>
      <c r="AU13" s="645"/>
      <c r="AV13" s="408" t="s">
        <v>14</v>
      </c>
      <c r="AW13" s="17">
        <v>0.86899999999999999</v>
      </c>
      <c r="AX13" s="17">
        <v>0.90300000000000002</v>
      </c>
      <c r="AY13" s="17">
        <v>0.88900000000000001</v>
      </c>
      <c r="AZ13" s="17">
        <v>0.89</v>
      </c>
      <c r="BA13" s="17">
        <v>0.873</v>
      </c>
      <c r="BB13" s="17">
        <v>0.876</v>
      </c>
      <c r="BC13" s="17">
        <v>0.86</v>
      </c>
      <c r="BD13" s="17">
        <v>0.84699999999999998</v>
      </c>
      <c r="BE13" s="27">
        <v>0.82299999999999995</v>
      </c>
      <c r="BF13" s="27">
        <v>0.83099999999999996</v>
      </c>
      <c r="BG13" s="12">
        <v>4.7E-2</v>
      </c>
      <c r="BH13" s="21">
        <v>4.7E-2</v>
      </c>
      <c r="BJ13" s="645"/>
      <c r="BK13" s="408" t="s">
        <v>14</v>
      </c>
      <c r="BL13" s="17">
        <v>0.94399999999999995</v>
      </c>
      <c r="BM13" s="17">
        <v>0.95199999999999996</v>
      </c>
      <c r="BN13" s="17">
        <v>0.94499999999999995</v>
      </c>
      <c r="BO13" s="17">
        <v>0.93799999999999994</v>
      </c>
      <c r="BP13" s="17">
        <v>0.92600000000000005</v>
      </c>
      <c r="BQ13" s="17">
        <v>0.92100000000000004</v>
      </c>
      <c r="BR13" s="17">
        <v>0.91300000000000003</v>
      </c>
      <c r="BS13" s="17">
        <v>0.89500000000000002</v>
      </c>
      <c r="BT13" s="27">
        <v>0.88200000000000001</v>
      </c>
      <c r="BU13" s="27">
        <v>0.86699999999999999</v>
      </c>
      <c r="BV13" s="12">
        <v>4.5999999999999999E-2</v>
      </c>
      <c r="BW13" s="21">
        <v>4.9000000000000002E-2</v>
      </c>
    </row>
    <row r="14" spans="1:75" x14ac:dyDescent="0.25">
      <c r="B14" s="708"/>
      <c r="C14" s="10" t="s">
        <v>15</v>
      </c>
      <c r="D14" s="17">
        <v>0.85299999999999998</v>
      </c>
      <c r="E14" s="17">
        <v>0.84199999999999997</v>
      </c>
      <c r="F14" s="27">
        <v>0.83</v>
      </c>
      <c r="G14" s="27">
        <v>0.83799999999999997</v>
      </c>
      <c r="H14" s="17">
        <v>0.85699999999999998</v>
      </c>
      <c r="I14" s="17">
        <v>0.85699999999999998</v>
      </c>
      <c r="J14" s="17">
        <v>0.85499999999999998</v>
      </c>
      <c r="K14" s="17">
        <v>0.86299999999999999</v>
      </c>
      <c r="L14" s="17">
        <v>0.85699999999999998</v>
      </c>
      <c r="M14" s="16">
        <v>0.83299999999999996</v>
      </c>
      <c r="N14" s="12">
        <v>4.7E-2</v>
      </c>
      <c r="O14" s="21">
        <v>4.7E-2</v>
      </c>
      <c r="P14" s="154"/>
      <c r="Q14" s="708"/>
      <c r="R14" s="10" t="s">
        <v>15</v>
      </c>
      <c r="S14" s="27">
        <v>0.82399999999999995</v>
      </c>
      <c r="T14" s="27">
        <v>0.82599999999999996</v>
      </c>
      <c r="U14" s="17">
        <v>0.84</v>
      </c>
      <c r="V14" s="27">
        <v>0.83299999999999996</v>
      </c>
      <c r="W14" s="17">
        <v>0.85599999999999998</v>
      </c>
      <c r="X14" s="17">
        <v>0.85699999999999998</v>
      </c>
      <c r="Y14" s="17">
        <v>0.85399999999999998</v>
      </c>
      <c r="Z14" s="17">
        <v>0.85</v>
      </c>
      <c r="AA14" s="17">
        <v>0.86099999999999999</v>
      </c>
      <c r="AB14" s="17">
        <v>0.84699999999999998</v>
      </c>
      <c r="AC14" s="17">
        <v>0.86199999999999999</v>
      </c>
      <c r="AD14" s="235">
        <v>0.84</v>
      </c>
      <c r="AF14" s="708"/>
      <c r="AG14" s="10" t="s">
        <v>15</v>
      </c>
      <c r="AH14" s="31">
        <v>0.76100000000000001</v>
      </c>
      <c r="AI14" s="27">
        <v>0.83099999999999996</v>
      </c>
      <c r="AJ14" s="17">
        <v>0.84</v>
      </c>
      <c r="AK14" s="17">
        <v>0.84499999999999997</v>
      </c>
      <c r="AL14" s="27">
        <v>0.82199999999999995</v>
      </c>
      <c r="AM14" s="17">
        <v>0.83899999999999997</v>
      </c>
      <c r="AN14" s="17">
        <v>0.84299999999999997</v>
      </c>
      <c r="AO14" s="17">
        <v>0.83799999999999997</v>
      </c>
      <c r="AP14" s="17">
        <v>0.84699999999999998</v>
      </c>
      <c r="AQ14" s="17">
        <v>0.83799999999999997</v>
      </c>
      <c r="AR14" s="17">
        <v>0.83499999999999996</v>
      </c>
      <c r="AS14" s="235">
        <v>0.82899999999999996</v>
      </c>
      <c r="AU14" s="645"/>
      <c r="AV14" s="408" t="s">
        <v>15</v>
      </c>
      <c r="AW14" s="27">
        <v>0.82099999999999995</v>
      </c>
      <c r="AX14" s="27">
        <v>0.83499999999999996</v>
      </c>
      <c r="AY14" s="27">
        <v>0.83699999999999997</v>
      </c>
      <c r="AZ14" s="27">
        <v>0.83499999999999996</v>
      </c>
      <c r="BA14" s="17">
        <v>0.85899999999999999</v>
      </c>
      <c r="BB14" s="17">
        <v>0.86</v>
      </c>
      <c r="BC14" s="17">
        <v>0.85499999999999998</v>
      </c>
      <c r="BD14" s="17">
        <v>0.85899999999999999</v>
      </c>
      <c r="BE14" s="12">
        <v>4.7E-2</v>
      </c>
      <c r="BF14" s="12">
        <v>4.7E-2</v>
      </c>
      <c r="BG14" s="12">
        <v>4.7E-2</v>
      </c>
      <c r="BH14" s="21">
        <v>4.7E-2</v>
      </c>
      <c r="BJ14" s="645"/>
      <c r="BK14" s="408" t="s">
        <v>15</v>
      </c>
      <c r="BL14" s="27">
        <v>0.85799999999999998</v>
      </c>
      <c r="BM14" s="27">
        <v>0.88200000000000001</v>
      </c>
      <c r="BN14" s="17">
        <v>0.88900000000000001</v>
      </c>
      <c r="BO14" s="27">
        <v>0.88600000000000001</v>
      </c>
      <c r="BP14" s="27">
        <v>0.876</v>
      </c>
      <c r="BQ14" s="27">
        <v>0.84899999999999998</v>
      </c>
      <c r="BR14" s="27">
        <v>0.85899999999999999</v>
      </c>
      <c r="BS14" s="27">
        <v>0.85499999999999998</v>
      </c>
      <c r="BT14" s="12">
        <v>4.5999999999999999E-2</v>
      </c>
      <c r="BU14" s="12">
        <v>4.7E-2</v>
      </c>
      <c r="BV14" s="12">
        <v>4.5999999999999999E-2</v>
      </c>
      <c r="BW14" s="21">
        <v>4.8000000000000001E-2</v>
      </c>
    </row>
    <row r="15" spans="1:75" x14ac:dyDescent="0.25">
      <c r="B15" s="708"/>
      <c r="C15" s="10" t="s">
        <v>16</v>
      </c>
      <c r="D15" s="17">
        <v>0.85899999999999999</v>
      </c>
      <c r="E15" s="27">
        <v>0.83899999999999997</v>
      </c>
      <c r="F15" s="17">
        <v>0.86499999999999999</v>
      </c>
      <c r="G15" s="17">
        <v>0.86099999999999999</v>
      </c>
      <c r="H15" s="17">
        <v>0.86</v>
      </c>
      <c r="I15" s="17">
        <v>0.87</v>
      </c>
      <c r="J15" s="17">
        <v>0.86399999999999999</v>
      </c>
      <c r="K15" s="17">
        <v>0.86799999999999999</v>
      </c>
      <c r="L15" s="17">
        <v>0.85799999999999998</v>
      </c>
      <c r="M15" s="17">
        <v>0.878</v>
      </c>
      <c r="N15" s="12">
        <v>4.7E-2</v>
      </c>
      <c r="O15" s="21">
        <v>4.7E-2</v>
      </c>
      <c r="P15" s="154"/>
      <c r="Q15" s="708"/>
      <c r="R15" s="10" t="s">
        <v>16</v>
      </c>
      <c r="S15" s="27">
        <v>0.81799999999999995</v>
      </c>
      <c r="T15" s="27">
        <v>0.82199999999999995</v>
      </c>
      <c r="U15" s="27">
        <v>0.83399999999999996</v>
      </c>
      <c r="V15" s="27">
        <v>0.83399999999999996</v>
      </c>
      <c r="W15" s="27">
        <v>0.83499999999999996</v>
      </c>
      <c r="X15" s="17">
        <v>0.85399999999999998</v>
      </c>
      <c r="Y15" s="17">
        <v>0.84299999999999997</v>
      </c>
      <c r="Z15" s="27">
        <v>0.84</v>
      </c>
      <c r="AA15" s="17">
        <v>0.84099999999999997</v>
      </c>
      <c r="AB15" s="17">
        <v>0.84899999999999998</v>
      </c>
      <c r="AC15" s="27">
        <v>0.83299999999999996</v>
      </c>
      <c r="AD15" s="235">
        <v>0.83499999999999996</v>
      </c>
      <c r="AF15" s="708"/>
      <c r="AG15" s="10" t="s">
        <v>16</v>
      </c>
      <c r="AH15" s="17">
        <v>0.85599999999999998</v>
      </c>
      <c r="AI15" s="17">
        <v>0.85599999999999998</v>
      </c>
      <c r="AJ15" s="17">
        <v>0.86299999999999999</v>
      </c>
      <c r="AK15" s="17">
        <v>0.86499999999999999</v>
      </c>
      <c r="AL15" s="17">
        <v>0.86699999999999999</v>
      </c>
      <c r="AM15" s="17">
        <v>0.86399999999999999</v>
      </c>
      <c r="AN15" s="17">
        <v>0.88300000000000001</v>
      </c>
      <c r="AO15" s="17">
        <v>0.88100000000000001</v>
      </c>
      <c r="AP15" s="17">
        <v>0.86</v>
      </c>
      <c r="AQ15" s="17">
        <v>0.86599999999999999</v>
      </c>
      <c r="AR15" s="17">
        <v>0.86199999999999999</v>
      </c>
      <c r="AS15" s="334">
        <v>0.85899999999999999</v>
      </c>
      <c r="AU15" s="645"/>
      <c r="AV15" s="408" t="s">
        <v>16</v>
      </c>
      <c r="AW15" s="27">
        <v>0.81899999999999995</v>
      </c>
      <c r="AX15" s="27">
        <v>0.79</v>
      </c>
      <c r="AY15" s="27">
        <v>0.82499999999999996</v>
      </c>
      <c r="AZ15" s="27">
        <v>0.82399999999999995</v>
      </c>
      <c r="BA15" s="17">
        <v>0.85799999999999998</v>
      </c>
      <c r="BB15" s="17">
        <v>0.85399999999999998</v>
      </c>
      <c r="BC15" s="17">
        <v>0.84799999999999998</v>
      </c>
      <c r="BD15" s="17">
        <v>0.84499999999999997</v>
      </c>
      <c r="BE15" s="12">
        <v>4.8000000000000001E-2</v>
      </c>
      <c r="BF15" s="12">
        <v>4.7E-2</v>
      </c>
      <c r="BG15" s="12">
        <v>4.7E-2</v>
      </c>
      <c r="BH15" s="21">
        <v>4.8000000000000001E-2</v>
      </c>
      <c r="BJ15" s="645"/>
      <c r="BK15" s="408" t="s">
        <v>16</v>
      </c>
      <c r="BL15" s="27">
        <v>0.88100000000000001</v>
      </c>
      <c r="BM15" s="27">
        <v>0.87</v>
      </c>
      <c r="BN15" s="27">
        <v>0.874</v>
      </c>
      <c r="BO15" s="27">
        <v>0.874</v>
      </c>
      <c r="BP15" s="27">
        <v>0.86599999999999999</v>
      </c>
      <c r="BQ15" s="27">
        <v>0.86899999999999999</v>
      </c>
      <c r="BR15" s="27">
        <v>0.86099999999999999</v>
      </c>
      <c r="BS15" s="27">
        <v>0.86499999999999999</v>
      </c>
      <c r="BT15" s="12">
        <v>4.7E-2</v>
      </c>
      <c r="BU15" s="12">
        <v>4.7E-2</v>
      </c>
      <c r="BV15" s="12">
        <v>4.5999999999999999E-2</v>
      </c>
      <c r="BW15" s="21">
        <v>4.9000000000000002E-2</v>
      </c>
    </row>
    <row r="16" spans="1:75" x14ac:dyDescent="0.25">
      <c r="B16" s="708"/>
      <c r="C16" s="10" t="s">
        <v>17</v>
      </c>
      <c r="D16" s="17">
        <v>0.85099999999999998</v>
      </c>
      <c r="E16" s="17">
        <v>0.84599999999999997</v>
      </c>
      <c r="F16" s="17">
        <v>0.86399999999999999</v>
      </c>
      <c r="G16" s="17">
        <v>0.86599999999999999</v>
      </c>
      <c r="H16" s="17">
        <v>0.86199999999999999</v>
      </c>
      <c r="I16" s="17">
        <v>0.85499999999999998</v>
      </c>
      <c r="J16" s="17">
        <v>0.86199999999999999</v>
      </c>
      <c r="K16" s="17">
        <v>0.86399999999999999</v>
      </c>
      <c r="L16" s="17">
        <v>0.86499999999999999</v>
      </c>
      <c r="M16" s="17">
        <v>0.85799999999999998</v>
      </c>
      <c r="N16" s="12">
        <v>4.7E-2</v>
      </c>
      <c r="O16" s="21">
        <v>4.7E-2</v>
      </c>
      <c r="P16" s="154"/>
      <c r="Q16" s="708"/>
      <c r="R16" s="10" t="s">
        <v>17</v>
      </c>
      <c r="S16" s="27">
        <v>0.83599999999999997</v>
      </c>
      <c r="T16" s="27">
        <v>0.83299999999999996</v>
      </c>
      <c r="U16" s="27">
        <v>0.83799999999999997</v>
      </c>
      <c r="V16" s="27">
        <v>0.82499999999999996</v>
      </c>
      <c r="W16" s="17">
        <v>0.85599999999999998</v>
      </c>
      <c r="X16" s="17">
        <v>0.86199999999999999</v>
      </c>
      <c r="Y16" s="17">
        <v>0.86099999999999999</v>
      </c>
      <c r="Z16" s="17">
        <v>0.85399999999999998</v>
      </c>
      <c r="AA16" s="17">
        <v>0.84899999999999998</v>
      </c>
      <c r="AB16" s="17">
        <v>0.84</v>
      </c>
      <c r="AC16" s="27">
        <v>0.83</v>
      </c>
      <c r="AD16" s="235">
        <v>0.83</v>
      </c>
      <c r="AF16" s="708"/>
      <c r="AG16" s="10" t="s">
        <v>17</v>
      </c>
      <c r="AH16" s="17">
        <v>0.86099999999999999</v>
      </c>
      <c r="AI16" s="17">
        <v>0.85599999999999998</v>
      </c>
      <c r="AJ16" s="17">
        <v>0.84399999999999997</v>
      </c>
      <c r="AK16" s="17">
        <v>0.86799999999999999</v>
      </c>
      <c r="AL16" s="17">
        <v>0.86399999999999999</v>
      </c>
      <c r="AM16" s="17">
        <v>0.86199999999999999</v>
      </c>
      <c r="AN16" s="17">
        <v>0.86499999999999999</v>
      </c>
      <c r="AO16" s="17">
        <v>0.86</v>
      </c>
      <c r="AP16" s="17">
        <v>0.88500000000000001</v>
      </c>
      <c r="AQ16" s="27">
        <v>0.83499999999999996</v>
      </c>
      <c r="AR16" s="17">
        <v>0.85599999999999998</v>
      </c>
      <c r="AS16" s="334">
        <v>0.86399999999999999</v>
      </c>
      <c r="AU16" s="645"/>
      <c r="AV16" s="408" t="s">
        <v>17</v>
      </c>
      <c r="AW16" s="12">
        <v>4.7E-2</v>
      </c>
      <c r="AX16" s="12">
        <v>4.7E-2</v>
      </c>
      <c r="AY16" s="17">
        <v>0.84199999999999997</v>
      </c>
      <c r="AZ16" s="17">
        <v>0.84599999999999997</v>
      </c>
      <c r="BA16" s="17">
        <v>0.86899999999999999</v>
      </c>
      <c r="BB16" s="17">
        <v>0.876</v>
      </c>
      <c r="BC16" s="17">
        <v>0.86499999999999999</v>
      </c>
      <c r="BD16" s="17">
        <v>0.85699999999999998</v>
      </c>
      <c r="BE16" s="12">
        <v>4.8000000000000001E-2</v>
      </c>
      <c r="BF16" s="12">
        <v>4.8000000000000001E-2</v>
      </c>
      <c r="BG16" s="12">
        <v>4.7E-2</v>
      </c>
      <c r="BH16" s="21">
        <v>4.8000000000000001E-2</v>
      </c>
      <c r="BJ16" s="645"/>
      <c r="BK16" s="408" t="s">
        <v>17</v>
      </c>
      <c r="BL16" s="27">
        <v>0.873</v>
      </c>
      <c r="BM16" s="17">
        <v>0.88900000000000001</v>
      </c>
      <c r="BN16" s="27">
        <v>0.88300000000000001</v>
      </c>
      <c r="BO16" s="27">
        <v>0.88600000000000001</v>
      </c>
      <c r="BP16" s="27">
        <v>0.879</v>
      </c>
      <c r="BQ16" s="27">
        <v>0.873</v>
      </c>
      <c r="BR16" s="27">
        <v>0.879</v>
      </c>
      <c r="BS16" s="27">
        <v>0.873</v>
      </c>
      <c r="BT16" s="12">
        <v>4.2999999999999997E-2</v>
      </c>
      <c r="BU16" s="12">
        <v>4.7E-2</v>
      </c>
      <c r="BV16" s="12">
        <v>4.7E-2</v>
      </c>
      <c r="BW16" s="21">
        <v>4.5999999999999999E-2</v>
      </c>
    </row>
    <row r="17" spans="2:75" x14ac:dyDescent="0.25">
      <c r="B17" s="708"/>
      <c r="C17" s="10" t="s">
        <v>18</v>
      </c>
      <c r="D17" s="27">
        <v>0.83599999999999997</v>
      </c>
      <c r="E17" s="17">
        <v>0.84799999999999998</v>
      </c>
      <c r="F17" s="27">
        <v>0.83899999999999997</v>
      </c>
      <c r="G17" s="17">
        <v>0.84299999999999997</v>
      </c>
      <c r="H17" s="17">
        <v>0.84299999999999997</v>
      </c>
      <c r="I17" s="17">
        <v>0.84599999999999997</v>
      </c>
      <c r="J17" s="17">
        <v>0.85599999999999998</v>
      </c>
      <c r="K17" s="17">
        <v>0.85899999999999999</v>
      </c>
      <c r="L17" s="17">
        <v>0.86</v>
      </c>
      <c r="M17" s="17">
        <v>0.86399999999999999</v>
      </c>
      <c r="N17" s="12">
        <v>4.7E-2</v>
      </c>
      <c r="O17" s="21">
        <v>4.7E-2</v>
      </c>
      <c r="P17" s="154"/>
      <c r="Q17" s="708"/>
      <c r="R17" s="10" t="s">
        <v>18</v>
      </c>
      <c r="S17" s="27">
        <v>0.83799999999999997</v>
      </c>
      <c r="T17" s="27">
        <v>0.83499999999999996</v>
      </c>
      <c r="U17" s="17">
        <v>0.84</v>
      </c>
      <c r="V17" s="17">
        <v>0.85</v>
      </c>
      <c r="W17" s="17">
        <v>0.85699999999999998</v>
      </c>
      <c r="X17" s="17">
        <v>0.84799999999999998</v>
      </c>
      <c r="Y17" s="17">
        <v>0.85799999999999998</v>
      </c>
      <c r="Z17" s="17">
        <v>0.84299999999999997</v>
      </c>
      <c r="AA17" s="17">
        <v>0.85799999999999998</v>
      </c>
      <c r="AB17" s="17">
        <v>0.84799999999999998</v>
      </c>
      <c r="AC17" s="27">
        <v>0.83699999999999997</v>
      </c>
      <c r="AD17" s="235">
        <v>0.83599999999999997</v>
      </c>
      <c r="AF17" s="708"/>
      <c r="AG17" s="10" t="s">
        <v>18</v>
      </c>
      <c r="AH17" s="27">
        <v>0.80600000000000005</v>
      </c>
      <c r="AI17" s="27">
        <v>0.79500000000000004</v>
      </c>
      <c r="AJ17" s="16">
        <v>0.65100000000000002</v>
      </c>
      <c r="AK17" s="17">
        <v>0.85</v>
      </c>
      <c r="AL17" s="17">
        <v>0.84899999999999998</v>
      </c>
      <c r="AM17" s="17">
        <v>0.85299999999999998</v>
      </c>
      <c r="AN17" s="17">
        <v>0.85699999999999998</v>
      </c>
      <c r="AO17" s="17">
        <v>0.85899999999999999</v>
      </c>
      <c r="AP17" s="17">
        <v>0.86199999999999999</v>
      </c>
      <c r="AQ17" s="17">
        <v>0.85699999999999998</v>
      </c>
      <c r="AR17" s="17">
        <v>0.84499999999999997</v>
      </c>
      <c r="AS17" s="334">
        <v>0.84299999999999997</v>
      </c>
      <c r="AU17" s="645"/>
      <c r="AV17" s="408" t="s">
        <v>18</v>
      </c>
      <c r="AW17" s="12">
        <v>4.7E-2</v>
      </c>
      <c r="AX17" s="12">
        <v>4.7E-2</v>
      </c>
      <c r="AY17" s="17">
        <v>0.84699999999999998</v>
      </c>
      <c r="AZ17" s="27">
        <v>0.83199999999999996</v>
      </c>
      <c r="BA17" s="17">
        <v>0.85199999999999998</v>
      </c>
      <c r="BB17" s="17">
        <v>0.86399999999999999</v>
      </c>
      <c r="BC17" s="17">
        <v>0.85</v>
      </c>
      <c r="BD17" s="17">
        <v>0.85599999999999998</v>
      </c>
      <c r="BE17" s="12">
        <v>4.7E-2</v>
      </c>
      <c r="BF17" s="12">
        <v>4.8000000000000001E-2</v>
      </c>
      <c r="BG17" s="12">
        <v>4.8000000000000001E-2</v>
      </c>
      <c r="BH17" s="21">
        <v>4.7E-2</v>
      </c>
      <c r="BJ17" s="645"/>
      <c r="BK17" s="408" t="s">
        <v>18</v>
      </c>
      <c r="BL17" s="27">
        <v>0.83599999999999997</v>
      </c>
      <c r="BM17" s="27">
        <v>0.88600000000000001</v>
      </c>
      <c r="BN17" s="27">
        <v>0.88600000000000001</v>
      </c>
      <c r="BO17" s="27">
        <v>0.88600000000000001</v>
      </c>
      <c r="BP17" s="27">
        <v>0.875</v>
      </c>
      <c r="BQ17" s="27">
        <v>0.88</v>
      </c>
      <c r="BR17" s="27">
        <v>0.86599999999999999</v>
      </c>
      <c r="BS17" s="27">
        <v>0.85099999999999998</v>
      </c>
      <c r="BT17" s="12">
        <v>4.5999999999999999E-2</v>
      </c>
      <c r="BU17" s="12">
        <v>4.7E-2</v>
      </c>
      <c r="BV17" s="12">
        <v>4.7E-2</v>
      </c>
      <c r="BW17" s="21">
        <v>4.7E-2</v>
      </c>
    </row>
    <row r="18" spans="2:75" x14ac:dyDescent="0.25">
      <c r="B18" s="708"/>
      <c r="C18" s="10" t="s">
        <v>19</v>
      </c>
      <c r="D18" s="12">
        <v>4.7E-2</v>
      </c>
      <c r="E18" s="12">
        <v>4.8000000000000001E-2</v>
      </c>
      <c r="F18" s="17">
        <v>0.86699999999999999</v>
      </c>
      <c r="G18" s="17">
        <v>0.85899999999999999</v>
      </c>
      <c r="H18" s="17">
        <v>0.86199999999999999</v>
      </c>
      <c r="I18" s="17">
        <v>0.86099999999999999</v>
      </c>
      <c r="J18" s="17">
        <v>0.86</v>
      </c>
      <c r="K18" s="17">
        <v>0.85399999999999998</v>
      </c>
      <c r="L18" s="17">
        <v>0.85699999999999998</v>
      </c>
      <c r="M18" s="17">
        <v>0.85</v>
      </c>
      <c r="N18" s="12">
        <v>4.7E-2</v>
      </c>
      <c r="O18" s="21">
        <v>4.7E-2</v>
      </c>
      <c r="P18" s="154"/>
      <c r="Q18" s="708"/>
      <c r="R18" s="10" t="s">
        <v>19</v>
      </c>
      <c r="S18" s="27">
        <v>0.82</v>
      </c>
      <c r="T18" s="27">
        <v>0.83099999999999996</v>
      </c>
      <c r="U18" s="27">
        <v>0.83</v>
      </c>
      <c r="V18" s="27">
        <v>0.82299999999999995</v>
      </c>
      <c r="W18" s="12">
        <v>4.7E-2</v>
      </c>
      <c r="X18" s="12">
        <v>4.8000000000000001E-2</v>
      </c>
      <c r="Y18" s="17">
        <v>0.86</v>
      </c>
      <c r="Z18" s="17">
        <v>0.85399999999999998</v>
      </c>
      <c r="AA18" s="27">
        <v>0.83099999999999996</v>
      </c>
      <c r="AB18" s="27">
        <v>0.83699999999999997</v>
      </c>
      <c r="AC18" s="17">
        <v>0.84099999999999997</v>
      </c>
      <c r="AD18" s="235">
        <v>0.83599999999999997</v>
      </c>
      <c r="AF18" s="708"/>
      <c r="AG18" s="10" t="s">
        <v>19</v>
      </c>
      <c r="AH18" s="27">
        <v>0.83</v>
      </c>
      <c r="AI18" s="27">
        <v>0.81399999999999995</v>
      </c>
      <c r="AJ18" s="27">
        <v>0.82499999999999996</v>
      </c>
      <c r="AK18" s="17">
        <v>0.86</v>
      </c>
      <c r="AL18" s="17">
        <v>0.84699999999999998</v>
      </c>
      <c r="AM18" s="17">
        <v>0.84</v>
      </c>
      <c r="AN18" s="17">
        <v>0.85099999999999998</v>
      </c>
      <c r="AO18" s="17">
        <v>0.84299999999999997</v>
      </c>
      <c r="AP18" s="17">
        <v>0.86599999999999999</v>
      </c>
      <c r="AQ18" s="17">
        <v>0.85</v>
      </c>
      <c r="AR18" s="12">
        <v>4.7E-2</v>
      </c>
      <c r="AS18" s="21">
        <v>4.8000000000000001E-2</v>
      </c>
      <c r="AU18" s="645"/>
      <c r="AV18" s="408" t="s">
        <v>19</v>
      </c>
      <c r="AW18" s="12">
        <v>4.7E-2</v>
      </c>
      <c r="AX18" s="12">
        <v>4.8000000000000001E-2</v>
      </c>
      <c r="AY18" s="17">
        <v>0.84699999999999998</v>
      </c>
      <c r="AZ18" s="17">
        <v>0.85599999999999998</v>
      </c>
      <c r="BA18" s="17">
        <v>0.85499999999999998</v>
      </c>
      <c r="BB18" s="17">
        <v>0.86499999999999999</v>
      </c>
      <c r="BC18" s="12">
        <v>4.8000000000000001E-2</v>
      </c>
      <c r="BD18" s="12">
        <v>4.8000000000000001E-2</v>
      </c>
      <c r="BE18" s="12">
        <v>4.7E-2</v>
      </c>
      <c r="BF18" s="12">
        <v>4.7E-2</v>
      </c>
      <c r="BG18" s="12">
        <v>4.8000000000000001E-2</v>
      </c>
      <c r="BH18" s="21">
        <v>4.8000000000000001E-2</v>
      </c>
      <c r="BJ18" s="645"/>
      <c r="BK18" s="408" t="s">
        <v>19</v>
      </c>
      <c r="BL18" s="12">
        <v>4.7E-2</v>
      </c>
      <c r="BM18" s="12">
        <v>4.5999999999999999E-2</v>
      </c>
      <c r="BN18" s="17">
        <v>0.89200000000000002</v>
      </c>
      <c r="BO18" s="17">
        <v>0.88900000000000001</v>
      </c>
      <c r="BP18" s="12">
        <v>4.7E-2</v>
      </c>
      <c r="BQ18" s="12">
        <v>4.5999999999999999E-2</v>
      </c>
      <c r="BR18" s="12">
        <v>4.7E-2</v>
      </c>
      <c r="BS18" s="12">
        <v>4.7E-2</v>
      </c>
      <c r="BT18" s="12">
        <v>4.5999999999999999E-2</v>
      </c>
      <c r="BU18" s="12">
        <v>4.5999999999999999E-2</v>
      </c>
      <c r="BV18" s="12">
        <v>4.7E-2</v>
      </c>
      <c r="BW18" s="21">
        <v>4.7E-2</v>
      </c>
    </row>
    <row r="19" spans="2:75" ht="15.75" thickBot="1" x14ac:dyDescent="0.3">
      <c r="B19" s="709"/>
      <c r="C19" s="22" t="s">
        <v>20</v>
      </c>
      <c r="D19" s="24">
        <v>4.8000000000000001E-2</v>
      </c>
      <c r="E19" s="24">
        <v>4.8000000000000001E-2</v>
      </c>
      <c r="F19" s="24">
        <v>4.7E-2</v>
      </c>
      <c r="G19" s="24">
        <v>4.7E-2</v>
      </c>
      <c r="H19" s="155">
        <v>0.83199999999999996</v>
      </c>
      <c r="I19" s="156">
        <v>0.85199999999999998</v>
      </c>
      <c r="J19" s="155">
        <v>0.83899999999999997</v>
      </c>
      <c r="K19" s="155">
        <v>0.83599999999999997</v>
      </c>
      <c r="L19" s="156">
        <v>0.84499999999999997</v>
      </c>
      <c r="M19" s="156">
        <v>0.85299999999999998</v>
      </c>
      <c r="N19" s="24">
        <v>4.7E-2</v>
      </c>
      <c r="O19" s="25">
        <v>4.7E-2</v>
      </c>
      <c r="P19" s="154"/>
      <c r="Q19" s="709"/>
      <c r="R19" s="22" t="s">
        <v>20</v>
      </c>
      <c r="S19" s="155">
        <v>0.81599999999999995</v>
      </c>
      <c r="T19" s="155">
        <v>0.83199999999999996</v>
      </c>
      <c r="U19" s="155">
        <v>0.82799999999999996</v>
      </c>
      <c r="V19" s="155">
        <v>0.83699999999999997</v>
      </c>
      <c r="W19" s="24">
        <v>4.7E-2</v>
      </c>
      <c r="X19" s="24">
        <v>4.8000000000000001E-2</v>
      </c>
      <c r="Y19" s="156">
        <v>0.84699999999999998</v>
      </c>
      <c r="Z19" s="156">
        <v>0.84399999999999997</v>
      </c>
      <c r="AA19" s="155">
        <v>0.83599999999999997</v>
      </c>
      <c r="AB19" s="155">
        <v>0.84</v>
      </c>
      <c r="AC19" s="24">
        <v>4.9000000000000002E-2</v>
      </c>
      <c r="AD19" s="25">
        <v>4.8000000000000001E-2</v>
      </c>
      <c r="AF19" s="709"/>
      <c r="AG19" s="22" t="s">
        <v>20</v>
      </c>
      <c r="AH19" s="24">
        <v>4.8000000000000001E-2</v>
      </c>
      <c r="AI19" s="24">
        <v>4.8000000000000001E-2</v>
      </c>
      <c r="AJ19" s="24">
        <v>4.7E-2</v>
      </c>
      <c r="AK19" s="24">
        <v>4.7E-2</v>
      </c>
      <c r="AL19" s="24">
        <v>4.8000000000000001E-2</v>
      </c>
      <c r="AM19" s="24">
        <v>4.8000000000000001E-2</v>
      </c>
      <c r="AN19" s="155">
        <v>0.82199999999999995</v>
      </c>
      <c r="AO19" s="156">
        <v>0.84499999999999997</v>
      </c>
      <c r="AP19" s="155">
        <v>0.78800000000000003</v>
      </c>
      <c r="AQ19" s="156">
        <v>0.85</v>
      </c>
      <c r="AR19" s="24">
        <v>4.7E-2</v>
      </c>
      <c r="AS19" s="25">
        <v>4.7E-2</v>
      </c>
      <c r="AU19" s="646"/>
      <c r="AV19" s="409" t="s">
        <v>20</v>
      </c>
      <c r="AW19" s="24">
        <v>4.8000000000000001E-2</v>
      </c>
      <c r="AX19" s="24">
        <v>4.8000000000000001E-2</v>
      </c>
      <c r="AY19" s="24">
        <v>4.7E-2</v>
      </c>
      <c r="AZ19" s="24">
        <v>4.7E-2</v>
      </c>
      <c r="BA19" s="24">
        <v>4.9000000000000002E-2</v>
      </c>
      <c r="BB19" s="24">
        <v>4.8000000000000001E-2</v>
      </c>
      <c r="BC19" s="24">
        <v>4.8000000000000001E-2</v>
      </c>
      <c r="BD19" s="24">
        <v>4.7E-2</v>
      </c>
      <c r="BE19" s="24">
        <v>4.8000000000000001E-2</v>
      </c>
      <c r="BF19" s="24">
        <v>4.7E-2</v>
      </c>
      <c r="BG19" s="24">
        <v>4.7E-2</v>
      </c>
      <c r="BH19" s="25">
        <v>4.8000000000000001E-2</v>
      </c>
      <c r="BJ19" s="646"/>
      <c r="BK19" s="409" t="s">
        <v>20</v>
      </c>
      <c r="BL19" s="24">
        <v>4.7E-2</v>
      </c>
      <c r="BM19" s="24">
        <v>4.5999999999999999E-2</v>
      </c>
      <c r="BN19" s="24">
        <v>4.7E-2</v>
      </c>
      <c r="BO19" s="24">
        <v>4.5999999999999999E-2</v>
      </c>
      <c r="BP19" s="24">
        <v>4.5999999999999999E-2</v>
      </c>
      <c r="BQ19" s="24">
        <v>4.7E-2</v>
      </c>
      <c r="BR19" s="24">
        <v>4.5999999999999999E-2</v>
      </c>
      <c r="BS19" s="24">
        <v>4.5999999999999999E-2</v>
      </c>
      <c r="BT19" s="24">
        <v>4.7E-2</v>
      </c>
      <c r="BU19" s="24">
        <v>4.5999999999999999E-2</v>
      </c>
      <c r="BV19" s="24">
        <v>4.7E-2</v>
      </c>
      <c r="BW19" s="25">
        <v>4.5999999999999999E-2</v>
      </c>
    </row>
    <row r="20" spans="2:75" x14ac:dyDescent="0.25">
      <c r="B20" s="713" t="s">
        <v>104</v>
      </c>
      <c r="C20" s="18"/>
      <c r="D20" s="19">
        <v>1</v>
      </c>
      <c r="E20" s="19">
        <v>2</v>
      </c>
      <c r="F20" s="19">
        <v>3</v>
      </c>
      <c r="G20" s="19">
        <v>4</v>
      </c>
      <c r="H20" s="19">
        <v>5</v>
      </c>
      <c r="I20" s="19">
        <v>6</v>
      </c>
      <c r="J20" s="19">
        <v>7</v>
      </c>
      <c r="K20" s="19">
        <v>8</v>
      </c>
      <c r="L20" s="19">
        <v>9</v>
      </c>
      <c r="M20" s="19">
        <v>10</v>
      </c>
      <c r="N20" s="19">
        <v>11</v>
      </c>
      <c r="O20" s="20">
        <v>12</v>
      </c>
      <c r="P20" s="154"/>
      <c r="Q20" s="714" t="s">
        <v>104</v>
      </c>
      <c r="R20" s="18"/>
      <c r="S20" s="19">
        <v>1</v>
      </c>
      <c r="T20" s="19">
        <v>2</v>
      </c>
      <c r="U20" s="19">
        <v>3</v>
      </c>
      <c r="V20" s="19">
        <v>4</v>
      </c>
      <c r="W20" s="19">
        <v>5</v>
      </c>
      <c r="X20" s="19">
        <v>6</v>
      </c>
      <c r="Y20" s="19">
        <v>7</v>
      </c>
      <c r="Z20" s="19">
        <v>8</v>
      </c>
      <c r="AA20" s="19">
        <v>9</v>
      </c>
      <c r="AB20" s="19">
        <v>10</v>
      </c>
      <c r="AC20" s="19">
        <v>11</v>
      </c>
      <c r="AD20" s="20">
        <v>12</v>
      </c>
      <c r="AF20" s="713" t="s">
        <v>104</v>
      </c>
      <c r="AG20" s="18"/>
      <c r="AH20" s="19">
        <v>1</v>
      </c>
      <c r="AI20" s="19">
        <v>2</v>
      </c>
      <c r="AJ20" s="19">
        <v>3</v>
      </c>
      <c r="AK20" s="19">
        <v>4</v>
      </c>
      <c r="AL20" s="19">
        <v>5</v>
      </c>
      <c r="AM20" s="19">
        <v>6</v>
      </c>
      <c r="AN20" s="19">
        <v>7</v>
      </c>
      <c r="AO20" s="19">
        <v>8</v>
      </c>
      <c r="AP20" s="19">
        <v>9</v>
      </c>
      <c r="AQ20" s="19">
        <v>10</v>
      </c>
      <c r="AR20" s="19">
        <v>11</v>
      </c>
      <c r="AS20" s="20">
        <v>12</v>
      </c>
      <c r="AU20" s="735" t="s">
        <v>104</v>
      </c>
      <c r="AV20" s="407"/>
      <c r="AW20" s="19">
        <v>1</v>
      </c>
      <c r="AX20" s="19">
        <v>2</v>
      </c>
      <c r="AY20" s="19">
        <v>3</v>
      </c>
      <c r="AZ20" s="19">
        <v>4</v>
      </c>
      <c r="BA20" s="19">
        <v>5</v>
      </c>
      <c r="BB20" s="19">
        <v>6</v>
      </c>
      <c r="BC20" s="19">
        <v>7</v>
      </c>
      <c r="BD20" s="19">
        <v>8</v>
      </c>
      <c r="BE20" s="19">
        <v>9</v>
      </c>
      <c r="BF20" s="19">
        <v>10</v>
      </c>
      <c r="BG20" s="19">
        <v>11</v>
      </c>
      <c r="BH20" s="20">
        <v>12</v>
      </c>
      <c r="BJ20" s="735" t="s">
        <v>104</v>
      </c>
      <c r="BK20" s="625"/>
      <c r="BL20" s="616">
        <v>1</v>
      </c>
      <c r="BM20" s="616">
        <v>2</v>
      </c>
      <c r="BN20" s="616">
        <v>3</v>
      </c>
      <c r="BO20" s="616">
        <v>4</v>
      </c>
      <c r="BP20" s="616">
        <v>5</v>
      </c>
      <c r="BQ20" s="616">
        <v>6</v>
      </c>
      <c r="BR20" s="616">
        <v>7</v>
      </c>
      <c r="BS20" s="616">
        <v>8</v>
      </c>
      <c r="BT20" s="616">
        <v>9</v>
      </c>
      <c r="BU20" s="616">
        <v>10</v>
      </c>
      <c r="BV20" s="616">
        <v>11</v>
      </c>
      <c r="BW20" s="617">
        <v>12</v>
      </c>
    </row>
    <row r="21" spans="2:75" x14ac:dyDescent="0.25">
      <c r="B21" s="714"/>
      <c r="C21" s="10" t="s">
        <v>13</v>
      </c>
      <c r="D21" s="158">
        <f>D3-D12</f>
        <v>-0.54200000000000004</v>
      </c>
      <c r="E21" s="158">
        <f t="shared" ref="E21:O21" si="0">E3-E12</f>
        <v>-0.53600000000000003</v>
      </c>
      <c r="F21" s="158">
        <f t="shared" si="0"/>
        <v>-0.54499999999999993</v>
      </c>
      <c r="G21" s="158">
        <f t="shared" si="0"/>
        <v>-0.55099999999999993</v>
      </c>
      <c r="H21" s="158">
        <f t="shared" si="0"/>
        <v>-0.53800000000000003</v>
      </c>
      <c r="I21" s="158">
        <f t="shared" si="0"/>
        <v>-0.53</v>
      </c>
      <c r="J21" s="158">
        <f t="shared" si="0"/>
        <v>-0.51900000000000002</v>
      </c>
      <c r="K21" s="158">
        <f t="shared" si="0"/>
        <v>-0.503</v>
      </c>
      <c r="L21" s="158">
        <f t="shared" si="0"/>
        <v>-0.48599999999999999</v>
      </c>
      <c r="M21" s="158">
        <f t="shared" si="0"/>
        <v>-0.47199999999999998</v>
      </c>
      <c r="N21" s="158">
        <f t="shared" si="0"/>
        <v>1.0000000000000009E-3</v>
      </c>
      <c r="O21" s="158">
        <f t="shared" si="0"/>
        <v>1.0000000000000009E-3</v>
      </c>
      <c r="Q21" s="714"/>
      <c r="R21" s="10" t="s">
        <v>13</v>
      </c>
      <c r="S21" s="158">
        <f>S3-S12</f>
        <v>-0.56699999999999995</v>
      </c>
      <c r="T21" s="158">
        <f t="shared" ref="T21:AD21" si="1">T3-T12</f>
        <v>-0.57000000000000006</v>
      </c>
      <c r="U21" s="158">
        <f t="shared" si="1"/>
        <v>-0.56299999999999994</v>
      </c>
      <c r="V21" s="158">
        <f t="shared" si="1"/>
        <v>-0.56000000000000005</v>
      </c>
      <c r="W21" s="158">
        <f t="shared" si="1"/>
        <v>-0.53800000000000003</v>
      </c>
      <c r="X21" s="158">
        <f t="shared" si="1"/>
        <v>-0.52299999999999991</v>
      </c>
      <c r="Y21" s="158">
        <f t="shared" si="1"/>
        <v>-0.5129999999999999</v>
      </c>
      <c r="Z21" s="158">
        <f t="shared" si="1"/>
        <v>-0.498</v>
      </c>
      <c r="AA21" s="158">
        <f t="shared" si="1"/>
        <v>-0.47699999999999998</v>
      </c>
      <c r="AB21" s="158">
        <f t="shared" si="1"/>
        <v>-0.45500000000000007</v>
      </c>
      <c r="AC21" s="158">
        <f t="shared" si="1"/>
        <v>-0.49599999999999994</v>
      </c>
      <c r="AD21" s="158">
        <f t="shared" si="1"/>
        <v>-0.49499999999999994</v>
      </c>
      <c r="AF21" s="714"/>
      <c r="AG21" s="10" t="s">
        <v>13</v>
      </c>
      <c r="AH21" s="158">
        <f>AH3-AH12</f>
        <v>-0.56600000000000006</v>
      </c>
      <c r="AI21" s="158">
        <f t="shared" ref="AI21:AS21" si="2">AI3-AI12</f>
        <v>-0.57000000000000006</v>
      </c>
      <c r="AJ21" s="158">
        <f t="shared" si="2"/>
        <v>-0.56499999999999995</v>
      </c>
      <c r="AK21" s="158">
        <f t="shared" si="2"/>
        <v>-0.55200000000000005</v>
      </c>
      <c r="AL21" s="158">
        <f t="shared" si="2"/>
        <v>-0.52899999999999991</v>
      </c>
      <c r="AM21" s="158">
        <f t="shared" si="2"/>
        <v>-0.53699999999999992</v>
      </c>
      <c r="AN21" s="158">
        <f t="shared" si="2"/>
        <v>-0.52499999999999991</v>
      </c>
      <c r="AO21" s="158">
        <f t="shared" si="2"/>
        <v>-0.5069999999999999</v>
      </c>
      <c r="AP21" s="158">
        <f t="shared" si="2"/>
        <v>-0.48799999999999999</v>
      </c>
      <c r="AQ21" s="158">
        <f t="shared" si="2"/>
        <v>-0.46599999999999997</v>
      </c>
      <c r="AR21" s="158">
        <f t="shared" si="2"/>
        <v>0</v>
      </c>
      <c r="AS21" s="158">
        <f t="shared" si="2"/>
        <v>1.0000000000000009E-3</v>
      </c>
      <c r="AU21" s="736"/>
      <c r="AV21" s="408" t="s">
        <v>13</v>
      </c>
      <c r="AW21" s="158">
        <f>AW3-AW12</f>
        <v>-0.57000000000000006</v>
      </c>
      <c r="AX21" s="158">
        <f t="shared" ref="AX21:BH21" si="3">AX3-AX12</f>
        <v>-0.56400000000000006</v>
      </c>
      <c r="AY21" s="158">
        <f t="shared" si="3"/>
        <v>-0.56000000000000005</v>
      </c>
      <c r="AZ21" s="158">
        <f t="shared" si="3"/>
        <v>-0.55200000000000005</v>
      </c>
      <c r="BA21" s="158">
        <f t="shared" si="3"/>
        <v>-0.53</v>
      </c>
      <c r="BB21" s="158">
        <f t="shared" si="3"/>
        <v>-0.52499999999999991</v>
      </c>
      <c r="BC21" s="158">
        <f t="shared" si="3"/>
        <v>-0.5129999999999999</v>
      </c>
      <c r="BD21" s="158">
        <f t="shared" si="3"/>
        <v>-0.5</v>
      </c>
      <c r="BE21" s="158">
        <f t="shared" si="3"/>
        <v>-0.47499999999999998</v>
      </c>
      <c r="BF21" s="158">
        <f t="shared" si="3"/>
        <v>-0.45799999999999996</v>
      </c>
      <c r="BG21" s="158">
        <f t="shared" si="3"/>
        <v>1.0000000000000009E-3</v>
      </c>
      <c r="BH21" s="166">
        <f t="shared" si="3"/>
        <v>1.0000000000000009E-3</v>
      </c>
      <c r="BJ21" s="736"/>
      <c r="BK21" s="408" t="s">
        <v>13</v>
      </c>
      <c r="BL21" s="158">
        <f>BL3-BL12</f>
        <v>-0.61399999999999988</v>
      </c>
      <c r="BM21" s="158">
        <f t="shared" ref="BM21:BW21" si="4">BM3-BM12</f>
        <v>-0.60699999999999998</v>
      </c>
      <c r="BN21" s="158">
        <f t="shared" si="4"/>
        <v>-0.61099999999999999</v>
      </c>
      <c r="BO21" s="158">
        <f t="shared" si="4"/>
        <v>-0.59899999999999998</v>
      </c>
      <c r="BP21" s="158">
        <f t="shared" si="4"/>
        <v>-0.58600000000000008</v>
      </c>
      <c r="BQ21" s="158">
        <f t="shared" si="4"/>
        <v>-0.57400000000000007</v>
      </c>
      <c r="BR21" s="158">
        <f t="shared" si="4"/>
        <v>-0.56000000000000005</v>
      </c>
      <c r="BS21" s="158">
        <f t="shared" si="4"/>
        <v>-0.54500000000000004</v>
      </c>
      <c r="BT21" s="158">
        <f t="shared" si="4"/>
        <v>-0.52600000000000002</v>
      </c>
      <c r="BU21" s="158">
        <f t="shared" si="4"/>
        <v>-0.505</v>
      </c>
      <c r="BV21" s="158">
        <f t="shared" si="4"/>
        <v>1.0000000000000009E-3</v>
      </c>
      <c r="BW21" s="166">
        <f t="shared" si="4"/>
        <v>1.0000000000000009E-3</v>
      </c>
    </row>
    <row r="22" spans="2:75" x14ac:dyDescent="0.25">
      <c r="B22" s="714"/>
      <c r="C22" s="10" t="s">
        <v>14</v>
      </c>
      <c r="D22" s="158">
        <f t="shared" ref="D22:O28" si="5">D4-D13</f>
        <v>-0.56400000000000006</v>
      </c>
      <c r="E22" s="158">
        <f t="shared" si="5"/>
        <v>-0.56400000000000006</v>
      </c>
      <c r="F22" s="158">
        <f t="shared" si="5"/>
        <v>-0.56400000000000006</v>
      </c>
      <c r="G22" s="158">
        <f t="shared" si="5"/>
        <v>-0.55800000000000005</v>
      </c>
      <c r="H22" s="158">
        <f t="shared" si="5"/>
        <v>-0.53499999999999992</v>
      </c>
      <c r="I22" s="158">
        <f t="shared" si="5"/>
        <v>-0.52800000000000002</v>
      </c>
      <c r="J22" s="158">
        <f t="shared" si="5"/>
        <v>-0.51700000000000002</v>
      </c>
      <c r="K22" s="158">
        <f t="shared" si="5"/>
        <v>-0.502</v>
      </c>
      <c r="L22" s="158">
        <f t="shared" si="5"/>
        <v>-0.49099999999999999</v>
      </c>
      <c r="M22" s="158">
        <f t="shared" si="5"/>
        <v>-0.46899999999999997</v>
      </c>
      <c r="N22" s="158">
        <f t="shared" si="5"/>
        <v>1.0000000000000009E-3</v>
      </c>
      <c r="O22" s="158">
        <f t="shared" si="5"/>
        <v>1.0000000000000009E-3</v>
      </c>
      <c r="Q22" s="714"/>
      <c r="R22" s="10" t="s">
        <v>14</v>
      </c>
      <c r="S22" s="158">
        <f t="shared" ref="S22:AD28" si="6">S4-S13</f>
        <v>-0.56600000000000006</v>
      </c>
      <c r="T22" s="158">
        <f t="shared" si="6"/>
        <v>-0.56400000000000006</v>
      </c>
      <c r="U22" s="158">
        <f t="shared" si="6"/>
        <v>-0.55800000000000005</v>
      </c>
      <c r="V22" s="158">
        <f t="shared" si="6"/>
        <v>-0.54800000000000004</v>
      </c>
      <c r="W22" s="158">
        <f t="shared" si="6"/>
        <v>-0.53699999999999992</v>
      </c>
      <c r="X22" s="158">
        <f t="shared" si="6"/>
        <v>-0.52600000000000002</v>
      </c>
      <c r="Y22" s="158">
        <f t="shared" si="6"/>
        <v>-0.5089999999999999</v>
      </c>
      <c r="Z22" s="158">
        <f t="shared" si="6"/>
        <v>-0.5</v>
      </c>
      <c r="AA22" s="158">
        <f t="shared" si="6"/>
        <v>-0.47299999999999998</v>
      </c>
      <c r="AB22" s="158">
        <f t="shared" si="6"/>
        <v>-0.45700000000000007</v>
      </c>
      <c r="AC22" s="158">
        <f t="shared" si="6"/>
        <v>-0.50800000000000001</v>
      </c>
      <c r="AD22" s="158">
        <f t="shared" si="6"/>
        <v>-0.51</v>
      </c>
      <c r="AF22" s="714"/>
      <c r="AG22" s="10" t="s">
        <v>14</v>
      </c>
      <c r="AH22" s="158">
        <f t="shared" ref="AH22:AS28" si="7">AH4-AH13</f>
        <v>-0.57600000000000007</v>
      </c>
      <c r="AI22" s="158">
        <f t="shared" si="7"/>
        <v>-0.57099999999999995</v>
      </c>
      <c r="AJ22" s="158">
        <f t="shared" si="7"/>
        <v>-0.52299999999999991</v>
      </c>
      <c r="AK22" s="158">
        <f t="shared" si="7"/>
        <v>-0.55499999999999994</v>
      </c>
      <c r="AL22" s="158">
        <f t="shared" si="7"/>
        <v>-0.53699999999999992</v>
      </c>
      <c r="AM22" s="158">
        <f t="shared" si="7"/>
        <v>-0.53499999999999992</v>
      </c>
      <c r="AN22" s="158">
        <f t="shared" si="7"/>
        <v>-0.52200000000000002</v>
      </c>
      <c r="AO22" s="158">
        <f t="shared" si="7"/>
        <v>-0.504</v>
      </c>
      <c r="AP22" s="158">
        <f t="shared" si="7"/>
        <v>-0.48899999999999999</v>
      </c>
      <c r="AQ22" s="158">
        <f t="shared" si="7"/>
        <v>-0.44400000000000006</v>
      </c>
      <c r="AR22" s="158">
        <f t="shared" si="7"/>
        <v>1.0000000000000009E-3</v>
      </c>
      <c r="AS22" s="158">
        <f t="shared" si="7"/>
        <v>1.0000000000000009E-3</v>
      </c>
      <c r="AU22" s="736"/>
      <c r="AV22" s="408" t="s">
        <v>14</v>
      </c>
      <c r="AW22" s="158">
        <f t="shared" ref="AW22:BH22" si="8">AW4-AW13</f>
        <v>-0.54800000000000004</v>
      </c>
      <c r="AX22" s="158">
        <f t="shared" si="8"/>
        <v>-0.57000000000000006</v>
      </c>
      <c r="AY22" s="158">
        <f t="shared" si="8"/>
        <v>-0.55699999999999994</v>
      </c>
      <c r="AZ22" s="158">
        <f t="shared" si="8"/>
        <v>-0.55499999999999994</v>
      </c>
      <c r="BA22" s="158">
        <f t="shared" si="8"/>
        <v>-0.53299999999999992</v>
      </c>
      <c r="BB22" s="158">
        <f t="shared" si="8"/>
        <v>-0.53100000000000003</v>
      </c>
      <c r="BC22" s="158">
        <f t="shared" si="8"/>
        <v>-0.51600000000000001</v>
      </c>
      <c r="BD22" s="158">
        <f t="shared" si="8"/>
        <v>-0.499</v>
      </c>
      <c r="BE22" s="158">
        <f t="shared" si="8"/>
        <v>-0.47199999999999998</v>
      </c>
      <c r="BF22" s="158">
        <f t="shared" si="8"/>
        <v>-0.47</v>
      </c>
      <c r="BG22" s="158">
        <f t="shared" si="8"/>
        <v>1.0000000000000009E-3</v>
      </c>
      <c r="BH22" s="166">
        <f t="shared" si="8"/>
        <v>1.0000000000000009E-3</v>
      </c>
      <c r="BJ22" s="736"/>
      <c r="BK22" s="408" t="s">
        <v>14</v>
      </c>
      <c r="BL22" s="158">
        <f t="shared" ref="BL22:BW22" si="9">BL4-BL13</f>
        <v>-0.61299999999999999</v>
      </c>
      <c r="BM22" s="158">
        <f t="shared" si="9"/>
        <v>-0.61399999999999988</v>
      </c>
      <c r="BN22" s="158">
        <f t="shared" si="9"/>
        <v>-0.60899999999999999</v>
      </c>
      <c r="BO22" s="158">
        <f t="shared" si="9"/>
        <v>-0.60099999999999998</v>
      </c>
      <c r="BP22" s="158">
        <f t="shared" si="9"/>
        <v>-0.58400000000000007</v>
      </c>
      <c r="BQ22" s="158">
        <f t="shared" si="9"/>
        <v>-0.57500000000000007</v>
      </c>
      <c r="BR22" s="158">
        <f t="shared" si="9"/>
        <v>-0.56800000000000006</v>
      </c>
      <c r="BS22" s="158">
        <f t="shared" si="9"/>
        <v>-0.54800000000000004</v>
      </c>
      <c r="BT22" s="158">
        <f t="shared" si="9"/>
        <v>-0.53100000000000003</v>
      </c>
      <c r="BU22" s="158">
        <f t="shared" si="9"/>
        <v>-0.51100000000000001</v>
      </c>
      <c r="BV22" s="158">
        <f t="shared" si="9"/>
        <v>1.0000000000000009E-3</v>
      </c>
      <c r="BW22" s="166">
        <f t="shared" si="9"/>
        <v>0</v>
      </c>
    </row>
    <row r="23" spans="2:75" x14ac:dyDescent="0.25">
      <c r="B23" s="714"/>
      <c r="C23" s="10" t="s">
        <v>15</v>
      </c>
      <c r="D23" s="158">
        <f t="shared" si="5"/>
        <v>-0.52200000000000002</v>
      </c>
      <c r="E23" s="158">
        <f t="shared" si="5"/>
        <v>-0.5129999999999999</v>
      </c>
      <c r="F23" s="158">
        <f t="shared" si="5"/>
        <v>-0.50499999999999989</v>
      </c>
      <c r="G23" s="158">
        <f t="shared" si="5"/>
        <v>-0.50800000000000001</v>
      </c>
      <c r="H23" s="158">
        <f t="shared" si="5"/>
        <v>-0.52400000000000002</v>
      </c>
      <c r="I23" s="158">
        <f t="shared" si="5"/>
        <v>-0.52299999999999991</v>
      </c>
      <c r="J23" s="158">
        <f t="shared" si="5"/>
        <v>-0.52200000000000002</v>
      </c>
      <c r="K23" s="158">
        <f t="shared" si="5"/>
        <v>-0.52699999999999991</v>
      </c>
      <c r="L23" s="158">
        <f t="shared" si="5"/>
        <v>-0.52200000000000002</v>
      </c>
      <c r="M23" s="158">
        <f t="shared" si="5"/>
        <v>-0.57799999999999996</v>
      </c>
      <c r="N23" s="158">
        <f t="shared" si="5"/>
        <v>1.0000000000000009E-3</v>
      </c>
      <c r="O23" s="158">
        <f t="shared" si="5"/>
        <v>1.0000000000000009E-3</v>
      </c>
      <c r="Q23" s="714"/>
      <c r="R23" s="10" t="s">
        <v>15</v>
      </c>
      <c r="S23" s="158">
        <f t="shared" si="6"/>
        <v>-0.49499999999999994</v>
      </c>
      <c r="T23" s="158">
        <f t="shared" si="6"/>
        <v>-0.49399999999999994</v>
      </c>
      <c r="U23" s="158">
        <f t="shared" si="6"/>
        <v>-0.5089999999999999</v>
      </c>
      <c r="V23" s="158">
        <f t="shared" si="6"/>
        <v>-0.50499999999999989</v>
      </c>
      <c r="W23" s="158">
        <f t="shared" si="6"/>
        <v>-0.52800000000000002</v>
      </c>
      <c r="X23" s="158">
        <f t="shared" si="6"/>
        <v>-0.52800000000000002</v>
      </c>
      <c r="Y23" s="158">
        <f t="shared" si="6"/>
        <v>-0.52200000000000002</v>
      </c>
      <c r="Z23" s="158">
        <f t="shared" si="6"/>
        <v>-0.52</v>
      </c>
      <c r="AA23" s="158">
        <f t="shared" si="6"/>
        <v>-0.52699999999999991</v>
      </c>
      <c r="AB23" s="158">
        <f t="shared" si="6"/>
        <v>-0.51800000000000002</v>
      </c>
      <c r="AC23" s="158">
        <f t="shared" si="6"/>
        <v>-0.50700000000000001</v>
      </c>
      <c r="AD23" s="158">
        <f t="shared" si="6"/>
        <v>-0.5069999999999999</v>
      </c>
      <c r="AF23" s="714"/>
      <c r="AG23" s="10" t="s">
        <v>15</v>
      </c>
      <c r="AH23" s="158">
        <f t="shared" si="7"/>
        <v>-0.46700000000000003</v>
      </c>
      <c r="AI23" s="158">
        <f t="shared" si="7"/>
        <v>-0.5129999999999999</v>
      </c>
      <c r="AJ23" s="158">
        <f t="shared" si="7"/>
        <v>-0.52200000000000002</v>
      </c>
      <c r="AK23" s="158">
        <f t="shared" si="7"/>
        <v>-0.52499999999999991</v>
      </c>
      <c r="AL23" s="158">
        <f t="shared" si="7"/>
        <v>-0.50600000000000001</v>
      </c>
      <c r="AM23" s="158">
        <f t="shared" si="7"/>
        <v>-0.51600000000000001</v>
      </c>
      <c r="AN23" s="158">
        <f t="shared" si="7"/>
        <v>-0.52600000000000002</v>
      </c>
      <c r="AO23" s="158">
        <f t="shared" si="7"/>
        <v>-0.52200000000000002</v>
      </c>
      <c r="AP23" s="158">
        <f t="shared" si="7"/>
        <v>-0.52600000000000002</v>
      </c>
      <c r="AQ23" s="158">
        <f t="shared" si="7"/>
        <v>-0.52200000000000002</v>
      </c>
      <c r="AR23" s="158">
        <f t="shared" si="7"/>
        <v>-0.51400000000000001</v>
      </c>
      <c r="AS23" s="158">
        <f t="shared" si="7"/>
        <v>-0.5109999999999999</v>
      </c>
      <c r="AU23" s="736"/>
      <c r="AV23" s="408" t="s">
        <v>15</v>
      </c>
      <c r="AW23" s="158">
        <f t="shared" ref="AW23:BH23" si="10">AW5-AW14</f>
        <v>-0.49699999999999994</v>
      </c>
      <c r="AX23" s="158">
        <f t="shared" si="10"/>
        <v>-0.50600000000000001</v>
      </c>
      <c r="AY23" s="158">
        <f t="shared" si="10"/>
        <v>-0.50800000000000001</v>
      </c>
      <c r="AZ23" s="158">
        <f t="shared" si="10"/>
        <v>-0.5069999999999999</v>
      </c>
      <c r="BA23" s="158">
        <f t="shared" si="10"/>
        <v>-0.52499999999999991</v>
      </c>
      <c r="BB23" s="158">
        <f t="shared" si="10"/>
        <v>-0.52699999999999991</v>
      </c>
      <c r="BC23" s="158">
        <f t="shared" si="10"/>
        <v>-0.52200000000000002</v>
      </c>
      <c r="BD23" s="158">
        <f t="shared" si="10"/>
        <v>-0.52499999999999991</v>
      </c>
      <c r="BE23" s="158">
        <f t="shared" si="10"/>
        <v>1.0000000000000009E-3</v>
      </c>
      <c r="BF23" s="158">
        <f t="shared" si="10"/>
        <v>1.0000000000000009E-3</v>
      </c>
      <c r="BG23" s="158">
        <f t="shared" si="10"/>
        <v>1.0000000000000009E-3</v>
      </c>
      <c r="BH23" s="166">
        <f t="shared" si="10"/>
        <v>1.0000000000000009E-3</v>
      </c>
      <c r="BJ23" s="736"/>
      <c r="BK23" s="408" t="s">
        <v>15</v>
      </c>
      <c r="BL23" s="158">
        <f t="shared" ref="BL23:BW23" si="11">BL5-BL14</f>
        <v>-0.54200000000000004</v>
      </c>
      <c r="BM23" s="158">
        <f t="shared" si="11"/>
        <v>-0.55800000000000005</v>
      </c>
      <c r="BN23" s="158">
        <f t="shared" si="11"/>
        <v>-0.56299999999999994</v>
      </c>
      <c r="BO23" s="158">
        <f t="shared" si="11"/>
        <v>-0.56099999999999994</v>
      </c>
      <c r="BP23" s="158">
        <f t="shared" si="11"/>
        <v>-0.54699999999999993</v>
      </c>
      <c r="BQ23" s="158">
        <f t="shared" si="11"/>
        <v>-0.53</v>
      </c>
      <c r="BR23" s="158">
        <f t="shared" si="11"/>
        <v>-0.53800000000000003</v>
      </c>
      <c r="BS23" s="158">
        <f t="shared" si="11"/>
        <v>-0.53299999999999992</v>
      </c>
      <c r="BT23" s="158">
        <f t="shared" si="11"/>
        <v>1.0000000000000009E-3</v>
      </c>
      <c r="BU23" s="158">
        <f t="shared" si="11"/>
        <v>0</v>
      </c>
      <c r="BV23" s="158">
        <f t="shared" si="11"/>
        <v>1.0000000000000009E-3</v>
      </c>
      <c r="BW23" s="166">
        <f t="shared" si="11"/>
        <v>1.0000000000000009E-3</v>
      </c>
    </row>
    <row r="24" spans="2:75" x14ac:dyDescent="0.25">
      <c r="B24" s="714"/>
      <c r="C24" s="10" t="s">
        <v>16</v>
      </c>
      <c r="D24" s="158">
        <f t="shared" si="5"/>
        <v>-0.51100000000000001</v>
      </c>
      <c r="E24" s="158">
        <f t="shared" si="5"/>
        <v>-0.5089999999999999</v>
      </c>
      <c r="F24" s="158">
        <f t="shared" si="5"/>
        <v>-0.53299999999999992</v>
      </c>
      <c r="G24" s="158">
        <f t="shared" si="5"/>
        <v>-0.52699999999999991</v>
      </c>
      <c r="H24" s="158">
        <f t="shared" si="5"/>
        <v>-0.52699999999999991</v>
      </c>
      <c r="I24" s="158">
        <f t="shared" si="5"/>
        <v>-0.53</v>
      </c>
      <c r="J24" s="158">
        <f t="shared" si="5"/>
        <v>-0.52699999999999991</v>
      </c>
      <c r="K24" s="158">
        <f t="shared" si="5"/>
        <v>-0.52899999999999991</v>
      </c>
      <c r="L24" s="158">
        <f t="shared" si="5"/>
        <v>-0.52400000000000002</v>
      </c>
      <c r="M24" s="158">
        <f t="shared" si="5"/>
        <v>-0.54299999999999993</v>
      </c>
      <c r="N24" s="158">
        <f t="shared" si="5"/>
        <v>1.0000000000000009E-3</v>
      </c>
      <c r="O24" s="158">
        <f t="shared" si="5"/>
        <v>1.0000000000000009E-3</v>
      </c>
      <c r="Q24" s="714"/>
      <c r="R24" s="10" t="s">
        <v>16</v>
      </c>
      <c r="S24" s="158">
        <f t="shared" si="6"/>
        <v>-0.49399999999999994</v>
      </c>
      <c r="T24" s="158">
        <f t="shared" si="6"/>
        <v>-0.49699999999999994</v>
      </c>
      <c r="U24" s="158">
        <f t="shared" si="6"/>
        <v>-0.50800000000000001</v>
      </c>
      <c r="V24" s="158">
        <f t="shared" si="6"/>
        <v>-0.5089999999999999</v>
      </c>
      <c r="W24" s="158">
        <f t="shared" si="6"/>
        <v>-0.51200000000000001</v>
      </c>
      <c r="X24" s="158">
        <f t="shared" si="6"/>
        <v>-0.5169999999999999</v>
      </c>
      <c r="Y24" s="158">
        <f t="shared" si="6"/>
        <v>-0.5149999999999999</v>
      </c>
      <c r="Z24" s="158">
        <f t="shared" si="6"/>
        <v>-0.51200000000000001</v>
      </c>
      <c r="AA24" s="158">
        <f t="shared" si="6"/>
        <v>-0.5149999999999999</v>
      </c>
      <c r="AB24" s="158">
        <f t="shared" si="6"/>
        <v>-0.51899999999999991</v>
      </c>
      <c r="AC24" s="158">
        <f t="shared" si="6"/>
        <v>-0.504</v>
      </c>
      <c r="AD24" s="158">
        <f t="shared" si="6"/>
        <v>-0.50600000000000001</v>
      </c>
      <c r="AF24" s="714"/>
      <c r="AG24" s="10" t="s">
        <v>16</v>
      </c>
      <c r="AH24" s="158">
        <f t="shared" si="7"/>
        <v>-0.53</v>
      </c>
      <c r="AI24" s="158">
        <f t="shared" si="7"/>
        <v>-0.52899999999999991</v>
      </c>
      <c r="AJ24" s="158">
        <f t="shared" si="7"/>
        <v>-0.53499999999999992</v>
      </c>
      <c r="AK24" s="158">
        <f t="shared" si="7"/>
        <v>-0.53800000000000003</v>
      </c>
      <c r="AL24" s="158">
        <f t="shared" si="7"/>
        <v>-0.53499999999999992</v>
      </c>
      <c r="AM24" s="158">
        <f t="shared" si="7"/>
        <v>-0.53299999999999992</v>
      </c>
      <c r="AN24" s="158">
        <f t="shared" si="7"/>
        <v>-0.55000000000000004</v>
      </c>
      <c r="AO24" s="158">
        <f t="shared" si="7"/>
        <v>-0.54899999999999993</v>
      </c>
      <c r="AP24" s="158">
        <f t="shared" si="7"/>
        <v>-0.53</v>
      </c>
      <c r="AQ24" s="158">
        <f t="shared" si="7"/>
        <v>-0.53200000000000003</v>
      </c>
      <c r="AR24" s="158">
        <f t="shared" si="7"/>
        <v>-0.53299999999999992</v>
      </c>
      <c r="AS24" s="158">
        <f t="shared" si="7"/>
        <v>-0.53099999999999992</v>
      </c>
      <c r="AU24" s="736"/>
      <c r="AV24" s="408" t="s">
        <v>16</v>
      </c>
      <c r="AW24" s="158">
        <f t="shared" ref="AW24:BH24" si="12">AW6-AW15</f>
        <v>-0.49299999999999994</v>
      </c>
      <c r="AX24" s="158">
        <f t="shared" si="12"/>
        <v>-0.47400000000000003</v>
      </c>
      <c r="AY24" s="158">
        <f t="shared" si="12"/>
        <v>-0.49799999999999994</v>
      </c>
      <c r="AZ24" s="158">
        <f t="shared" si="12"/>
        <v>-0.49699999999999994</v>
      </c>
      <c r="BA24" s="158">
        <f t="shared" si="12"/>
        <v>-0.52400000000000002</v>
      </c>
      <c r="BB24" s="158">
        <f t="shared" si="12"/>
        <v>-0.52200000000000002</v>
      </c>
      <c r="BC24" s="158">
        <f t="shared" si="12"/>
        <v>-0.51899999999999991</v>
      </c>
      <c r="BD24" s="158">
        <f t="shared" si="12"/>
        <v>-0.51899999999999991</v>
      </c>
      <c r="BE24" s="158">
        <f t="shared" si="12"/>
        <v>0</v>
      </c>
      <c r="BF24" s="158">
        <f t="shared" si="12"/>
        <v>1.0000000000000009E-3</v>
      </c>
      <c r="BG24" s="158">
        <f t="shared" si="12"/>
        <v>1.0000000000000009E-3</v>
      </c>
      <c r="BH24" s="166">
        <f t="shared" si="12"/>
        <v>0</v>
      </c>
      <c r="BJ24" s="736"/>
      <c r="BK24" s="408" t="s">
        <v>16</v>
      </c>
      <c r="BL24" s="158">
        <f t="shared" ref="BL24:BW24" si="13">BL6-BL15</f>
        <v>-0.55499999999999994</v>
      </c>
      <c r="BM24" s="158">
        <f t="shared" si="13"/>
        <v>-0.54899999999999993</v>
      </c>
      <c r="BN24" s="158">
        <f t="shared" si="13"/>
        <v>-0.55099999999999993</v>
      </c>
      <c r="BO24" s="158">
        <f t="shared" si="13"/>
        <v>-0.55099999999999993</v>
      </c>
      <c r="BP24" s="158">
        <f t="shared" si="13"/>
        <v>-0.54</v>
      </c>
      <c r="BQ24" s="158">
        <f t="shared" si="13"/>
        <v>-0.54</v>
      </c>
      <c r="BR24" s="158">
        <f t="shared" si="13"/>
        <v>-0.53600000000000003</v>
      </c>
      <c r="BS24" s="158">
        <f t="shared" si="13"/>
        <v>-0.54</v>
      </c>
      <c r="BT24" s="158">
        <f t="shared" si="13"/>
        <v>0</v>
      </c>
      <c r="BU24" s="158">
        <f t="shared" si="13"/>
        <v>0</v>
      </c>
      <c r="BV24" s="158">
        <f t="shared" si="13"/>
        <v>1.0000000000000009E-3</v>
      </c>
      <c r="BW24" s="166">
        <f t="shared" si="13"/>
        <v>1.0000000000000009E-3</v>
      </c>
    </row>
    <row r="25" spans="2:75" x14ac:dyDescent="0.25">
      <c r="B25" s="714"/>
      <c r="C25" s="10" t="s">
        <v>17</v>
      </c>
      <c r="D25" s="158">
        <f t="shared" si="5"/>
        <v>-0.5169999999999999</v>
      </c>
      <c r="E25" s="158">
        <f t="shared" si="5"/>
        <v>-0.51400000000000001</v>
      </c>
      <c r="F25" s="158">
        <f t="shared" si="5"/>
        <v>-0.53299999999999992</v>
      </c>
      <c r="G25" s="158">
        <f t="shared" si="5"/>
        <v>-0.53400000000000003</v>
      </c>
      <c r="H25" s="158">
        <f t="shared" si="5"/>
        <v>-0.52899999999999991</v>
      </c>
      <c r="I25" s="158">
        <f t="shared" si="5"/>
        <v>-0.52299999999999991</v>
      </c>
      <c r="J25" s="158">
        <f t="shared" si="5"/>
        <v>-0.52699999999999991</v>
      </c>
      <c r="K25" s="158">
        <f t="shared" si="5"/>
        <v>-0.52800000000000002</v>
      </c>
      <c r="L25" s="158">
        <f t="shared" si="5"/>
        <v>-0.53</v>
      </c>
      <c r="M25" s="158">
        <f t="shared" si="5"/>
        <v>-0.52499999999999991</v>
      </c>
      <c r="N25" s="158">
        <f t="shared" si="5"/>
        <v>1.0000000000000009E-3</v>
      </c>
      <c r="O25" s="158">
        <f t="shared" si="5"/>
        <v>1.0000000000000009E-3</v>
      </c>
      <c r="Q25" s="714"/>
      <c r="R25" s="10" t="s">
        <v>17</v>
      </c>
      <c r="S25" s="158">
        <f t="shared" si="6"/>
        <v>-0.51</v>
      </c>
      <c r="T25" s="158">
        <f t="shared" si="6"/>
        <v>-0.50299999999999989</v>
      </c>
      <c r="U25" s="158">
        <f t="shared" si="6"/>
        <v>-0.5109999999999999</v>
      </c>
      <c r="V25" s="158">
        <f t="shared" si="6"/>
        <v>-0.504</v>
      </c>
      <c r="W25" s="158">
        <f t="shared" si="6"/>
        <v>-0.53</v>
      </c>
      <c r="X25" s="158">
        <f t="shared" si="6"/>
        <v>-0.53299999999999992</v>
      </c>
      <c r="Y25" s="158">
        <f t="shared" si="6"/>
        <v>-0.53</v>
      </c>
      <c r="Z25" s="158">
        <f t="shared" si="6"/>
        <v>-0.52400000000000002</v>
      </c>
      <c r="AA25" s="158">
        <f t="shared" si="6"/>
        <v>-0.51899999999999991</v>
      </c>
      <c r="AB25" s="158">
        <f t="shared" si="6"/>
        <v>-0.5129999999999999</v>
      </c>
      <c r="AC25" s="158">
        <f t="shared" si="6"/>
        <v>-0.49399999999999994</v>
      </c>
      <c r="AD25" s="158">
        <f t="shared" si="6"/>
        <v>-0.49799999999999994</v>
      </c>
      <c r="AF25" s="714"/>
      <c r="AG25" s="10" t="s">
        <v>17</v>
      </c>
      <c r="AH25" s="158">
        <f t="shared" si="7"/>
        <v>-0.53299999999999992</v>
      </c>
      <c r="AI25" s="158">
        <f t="shared" si="7"/>
        <v>-0.53099999999999992</v>
      </c>
      <c r="AJ25" s="158">
        <f t="shared" si="7"/>
        <v>-0.52299999999999991</v>
      </c>
      <c r="AK25" s="158">
        <f t="shared" si="7"/>
        <v>-0.53899999999999992</v>
      </c>
      <c r="AL25" s="158">
        <f t="shared" si="7"/>
        <v>-0.53</v>
      </c>
      <c r="AM25" s="158">
        <f t="shared" si="7"/>
        <v>-0.52899999999999991</v>
      </c>
      <c r="AN25" s="158">
        <f t="shared" si="7"/>
        <v>-0.53800000000000003</v>
      </c>
      <c r="AO25" s="158">
        <f t="shared" si="7"/>
        <v>-0.53099999999999992</v>
      </c>
      <c r="AP25" s="158">
        <f t="shared" si="7"/>
        <v>-0.55000000000000004</v>
      </c>
      <c r="AQ25" s="158">
        <f t="shared" si="7"/>
        <v>-0.51800000000000002</v>
      </c>
      <c r="AR25" s="158">
        <f t="shared" si="7"/>
        <v>-0.52699999999999991</v>
      </c>
      <c r="AS25" s="158">
        <f t="shared" si="7"/>
        <v>-0.53400000000000003</v>
      </c>
      <c r="AU25" s="736"/>
      <c r="AV25" s="408" t="s">
        <v>17</v>
      </c>
      <c r="AW25" s="158">
        <f t="shared" ref="AW25:BH25" si="14">AW7-AW16</f>
        <v>1.0000000000000009E-3</v>
      </c>
      <c r="AX25" s="158">
        <f t="shared" si="14"/>
        <v>1.0000000000000009E-3</v>
      </c>
      <c r="AY25" s="158">
        <f t="shared" si="14"/>
        <v>-0.51200000000000001</v>
      </c>
      <c r="AZ25" s="158">
        <f t="shared" si="14"/>
        <v>-0.51400000000000001</v>
      </c>
      <c r="BA25" s="158">
        <f t="shared" si="14"/>
        <v>-0.53</v>
      </c>
      <c r="BB25" s="158">
        <f t="shared" si="14"/>
        <v>-0.53299999999999992</v>
      </c>
      <c r="BC25" s="158">
        <f t="shared" si="14"/>
        <v>-0.53</v>
      </c>
      <c r="BD25" s="158">
        <f t="shared" si="14"/>
        <v>-0.52699999999999991</v>
      </c>
      <c r="BE25" s="158">
        <f t="shared" si="14"/>
        <v>0</v>
      </c>
      <c r="BF25" s="158">
        <f t="shared" si="14"/>
        <v>1.0000000000000009E-3</v>
      </c>
      <c r="BG25" s="158">
        <f t="shared" si="14"/>
        <v>1.0000000000000009E-3</v>
      </c>
      <c r="BH25" s="166">
        <f t="shared" si="14"/>
        <v>0</v>
      </c>
      <c r="BJ25" s="736"/>
      <c r="BK25" s="408" t="s">
        <v>17</v>
      </c>
      <c r="BL25" s="158">
        <f t="shared" ref="BL25:BW25" si="15">BL7-BL16</f>
        <v>-0.55499999999999994</v>
      </c>
      <c r="BM25" s="158">
        <f t="shared" si="15"/>
        <v>-0.56400000000000006</v>
      </c>
      <c r="BN25" s="158">
        <f t="shared" si="15"/>
        <v>-0.55600000000000005</v>
      </c>
      <c r="BO25" s="158">
        <f t="shared" si="15"/>
        <v>-0.55699999999999994</v>
      </c>
      <c r="BP25" s="158">
        <f t="shared" si="15"/>
        <v>-0.54</v>
      </c>
      <c r="BQ25" s="158">
        <f t="shared" si="15"/>
        <v>-0.54600000000000004</v>
      </c>
      <c r="BR25" s="158">
        <f t="shared" si="15"/>
        <v>-0.54800000000000004</v>
      </c>
      <c r="BS25" s="158">
        <f t="shared" si="15"/>
        <v>-0.54600000000000004</v>
      </c>
      <c r="BT25" s="158">
        <f t="shared" si="15"/>
        <v>0</v>
      </c>
      <c r="BU25" s="158">
        <f t="shared" si="15"/>
        <v>0</v>
      </c>
      <c r="BV25" s="158">
        <f t="shared" si="15"/>
        <v>1.0000000000000009E-3</v>
      </c>
      <c r="BW25" s="166">
        <f t="shared" si="15"/>
        <v>1.0000000000000009E-3</v>
      </c>
    </row>
    <row r="26" spans="2:75" x14ac:dyDescent="0.25">
      <c r="B26" s="714"/>
      <c r="C26" s="10" t="s">
        <v>18</v>
      </c>
      <c r="D26" s="158">
        <f t="shared" si="5"/>
        <v>-0.5129999999999999</v>
      </c>
      <c r="E26" s="158">
        <f t="shared" si="5"/>
        <v>-0.52099999999999991</v>
      </c>
      <c r="F26" s="158">
        <f t="shared" si="5"/>
        <v>-0.51400000000000001</v>
      </c>
      <c r="G26" s="158">
        <f t="shared" si="5"/>
        <v>-0.51800000000000002</v>
      </c>
      <c r="H26" s="158">
        <f t="shared" si="5"/>
        <v>-0.51400000000000001</v>
      </c>
      <c r="I26" s="158">
        <f t="shared" si="5"/>
        <v>-0.5129999999999999</v>
      </c>
      <c r="J26" s="158">
        <f t="shared" si="5"/>
        <v>-0.52600000000000002</v>
      </c>
      <c r="K26" s="158">
        <f t="shared" si="5"/>
        <v>-0.52600000000000002</v>
      </c>
      <c r="L26" s="158">
        <f t="shared" si="5"/>
        <v>-0.52600000000000002</v>
      </c>
      <c r="M26" s="158">
        <f t="shared" si="5"/>
        <v>-0.52699999999999991</v>
      </c>
      <c r="N26" s="158">
        <f t="shared" si="5"/>
        <v>1.0000000000000009E-3</v>
      </c>
      <c r="O26" s="158">
        <f t="shared" si="5"/>
        <v>1.0000000000000009E-3</v>
      </c>
      <c r="Q26" s="714"/>
      <c r="R26" s="10" t="s">
        <v>18</v>
      </c>
      <c r="S26" s="158">
        <f t="shared" si="6"/>
        <v>-0.504</v>
      </c>
      <c r="T26" s="158">
        <f t="shared" si="6"/>
        <v>-0.502</v>
      </c>
      <c r="U26" s="158">
        <f t="shared" si="6"/>
        <v>-0.5129999999999999</v>
      </c>
      <c r="V26" s="158">
        <f t="shared" si="6"/>
        <v>-0.51899999999999991</v>
      </c>
      <c r="W26" s="158">
        <f t="shared" si="6"/>
        <v>-0.52800000000000002</v>
      </c>
      <c r="X26" s="158">
        <f t="shared" si="6"/>
        <v>-0.52299999999999991</v>
      </c>
      <c r="Y26" s="158">
        <f t="shared" si="6"/>
        <v>-0.52400000000000002</v>
      </c>
      <c r="Z26" s="158">
        <f t="shared" si="6"/>
        <v>-0.5149999999999999</v>
      </c>
      <c r="AA26" s="158">
        <f t="shared" si="6"/>
        <v>-0.52299999999999991</v>
      </c>
      <c r="AB26" s="158">
        <f t="shared" si="6"/>
        <v>-0.51800000000000002</v>
      </c>
      <c r="AC26" s="158">
        <f t="shared" si="6"/>
        <v>-0.50600000000000001</v>
      </c>
      <c r="AD26" s="158">
        <f t="shared" si="6"/>
        <v>-0.50499999999999989</v>
      </c>
      <c r="AF26" s="714"/>
      <c r="AG26" s="10" t="s">
        <v>18</v>
      </c>
      <c r="AH26" s="158">
        <f t="shared" si="7"/>
        <v>-0.49700000000000005</v>
      </c>
      <c r="AI26" s="158">
        <f t="shared" si="7"/>
        <v>-0.49000000000000005</v>
      </c>
      <c r="AJ26" s="158">
        <f t="shared" si="7"/>
        <v>-0.39200000000000002</v>
      </c>
      <c r="AK26" s="158">
        <f t="shared" si="7"/>
        <v>-0.52400000000000002</v>
      </c>
      <c r="AL26" s="158">
        <f t="shared" si="7"/>
        <v>-0.52200000000000002</v>
      </c>
      <c r="AM26" s="158">
        <f t="shared" si="7"/>
        <v>-0.52400000000000002</v>
      </c>
      <c r="AN26" s="158">
        <f t="shared" si="7"/>
        <v>-0.53</v>
      </c>
      <c r="AO26" s="158">
        <f t="shared" si="7"/>
        <v>-0.53200000000000003</v>
      </c>
      <c r="AP26" s="158">
        <f t="shared" si="7"/>
        <v>-0.53699999999999992</v>
      </c>
      <c r="AQ26" s="158">
        <f t="shared" si="7"/>
        <v>-0.53299999999999992</v>
      </c>
      <c r="AR26" s="158">
        <f t="shared" si="7"/>
        <v>-0.51899999999999991</v>
      </c>
      <c r="AS26" s="158">
        <f t="shared" si="7"/>
        <v>-0.52</v>
      </c>
      <c r="AU26" s="736"/>
      <c r="AV26" s="408" t="s">
        <v>18</v>
      </c>
      <c r="AW26" s="158">
        <f t="shared" ref="AW26:BH26" si="16">AW8-AW17</f>
        <v>1.0000000000000009E-3</v>
      </c>
      <c r="AX26" s="158">
        <f t="shared" si="16"/>
        <v>1.0000000000000009E-3</v>
      </c>
      <c r="AY26" s="158">
        <f t="shared" si="16"/>
        <v>-0.51200000000000001</v>
      </c>
      <c r="AZ26" s="158">
        <f t="shared" si="16"/>
        <v>-0.50099999999999989</v>
      </c>
      <c r="BA26" s="158">
        <f t="shared" si="16"/>
        <v>-0.52</v>
      </c>
      <c r="BB26" s="158">
        <f t="shared" si="16"/>
        <v>-0.52800000000000002</v>
      </c>
      <c r="BC26" s="158">
        <f t="shared" si="16"/>
        <v>-0.52200000000000002</v>
      </c>
      <c r="BD26" s="158">
        <f t="shared" si="16"/>
        <v>-0.52800000000000002</v>
      </c>
      <c r="BE26" s="158">
        <f t="shared" si="16"/>
        <v>1.0000000000000009E-3</v>
      </c>
      <c r="BF26" s="158">
        <f t="shared" si="16"/>
        <v>1.0000000000000009E-3</v>
      </c>
      <c r="BG26" s="158">
        <f t="shared" si="16"/>
        <v>1.0000000000000009E-3</v>
      </c>
      <c r="BH26" s="166">
        <f t="shared" si="16"/>
        <v>1.0000000000000009E-3</v>
      </c>
      <c r="BJ26" s="736"/>
      <c r="BK26" s="408" t="s">
        <v>18</v>
      </c>
      <c r="BL26" s="158">
        <f t="shared" ref="BL26:BW26" si="17">BL8-BL17</f>
        <v>-0.52800000000000002</v>
      </c>
      <c r="BM26" s="158">
        <f t="shared" si="17"/>
        <v>-0.55899999999999994</v>
      </c>
      <c r="BN26" s="158">
        <f t="shared" si="17"/>
        <v>-0.55899999999999994</v>
      </c>
      <c r="BO26" s="158">
        <f t="shared" si="17"/>
        <v>-0.56000000000000005</v>
      </c>
      <c r="BP26" s="158">
        <f t="shared" si="17"/>
        <v>-0.54600000000000004</v>
      </c>
      <c r="BQ26" s="158">
        <f t="shared" si="17"/>
        <v>-0.54699999999999993</v>
      </c>
      <c r="BR26" s="158">
        <f t="shared" si="17"/>
        <v>-0.54</v>
      </c>
      <c r="BS26" s="158">
        <f t="shared" si="17"/>
        <v>-0.53099999999999992</v>
      </c>
      <c r="BT26" s="158">
        <f t="shared" si="17"/>
        <v>1.0000000000000009E-3</v>
      </c>
      <c r="BU26" s="158">
        <f t="shared" si="17"/>
        <v>0</v>
      </c>
      <c r="BV26" s="158">
        <f t="shared" si="17"/>
        <v>0</v>
      </c>
      <c r="BW26" s="166">
        <f t="shared" si="17"/>
        <v>0</v>
      </c>
    </row>
    <row r="27" spans="2:75" x14ac:dyDescent="0.25">
      <c r="B27" s="714"/>
      <c r="C27" s="10" t="s">
        <v>19</v>
      </c>
      <c r="D27" s="158">
        <f t="shared" si="5"/>
        <v>1.0000000000000009E-3</v>
      </c>
      <c r="E27" s="158">
        <f t="shared" si="5"/>
        <v>1.0000000000000009E-3</v>
      </c>
      <c r="F27" s="158">
        <f t="shared" si="5"/>
        <v>-0.53499999999999992</v>
      </c>
      <c r="G27" s="158">
        <f t="shared" si="5"/>
        <v>-0.53099999999999992</v>
      </c>
      <c r="H27" s="158">
        <f t="shared" si="5"/>
        <v>-0.52600000000000002</v>
      </c>
      <c r="I27" s="158">
        <f t="shared" si="5"/>
        <v>-0.52600000000000002</v>
      </c>
      <c r="J27" s="158">
        <f t="shared" si="5"/>
        <v>-0.52400000000000002</v>
      </c>
      <c r="K27" s="158">
        <f t="shared" si="5"/>
        <v>-0.51600000000000001</v>
      </c>
      <c r="L27" s="158">
        <f t="shared" si="5"/>
        <v>-0.51800000000000002</v>
      </c>
      <c r="M27" s="158">
        <f t="shared" si="5"/>
        <v>-0.51400000000000001</v>
      </c>
      <c r="N27" s="158">
        <f t="shared" si="5"/>
        <v>1.0000000000000009E-3</v>
      </c>
      <c r="O27" s="158">
        <f t="shared" si="5"/>
        <v>1.0000000000000009E-3</v>
      </c>
      <c r="Q27" s="714"/>
      <c r="R27" s="10" t="s">
        <v>19</v>
      </c>
      <c r="S27" s="158">
        <f t="shared" si="6"/>
        <v>-0.49399999999999994</v>
      </c>
      <c r="T27" s="158">
        <f t="shared" si="6"/>
        <v>-0.49999999999999994</v>
      </c>
      <c r="U27" s="158">
        <f t="shared" si="6"/>
        <v>-0.49999999999999994</v>
      </c>
      <c r="V27" s="158">
        <f t="shared" si="6"/>
        <v>-0.49599999999999994</v>
      </c>
      <c r="W27" s="158">
        <f t="shared" si="6"/>
        <v>1.0000000000000009E-3</v>
      </c>
      <c r="X27" s="158">
        <f t="shared" si="6"/>
        <v>1.0000000000000009E-3</v>
      </c>
      <c r="Y27" s="158">
        <f t="shared" si="6"/>
        <v>-0.52800000000000002</v>
      </c>
      <c r="Z27" s="158">
        <f t="shared" si="6"/>
        <v>-0.52400000000000002</v>
      </c>
      <c r="AA27" s="158">
        <f t="shared" si="6"/>
        <v>-0.49799999999999994</v>
      </c>
      <c r="AB27" s="158">
        <f t="shared" si="6"/>
        <v>-0.502</v>
      </c>
      <c r="AC27" s="158">
        <f t="shared" si="6"/>
        <v>-0.5089999999999999</v>
      </c>
      <c r="AD27" s="158">
        <f t="shared" si="6"/>
        <v>-0.50600000000000001</v>
      </c>
      <c r="AF27" s="714"/>
      <c r="AG27" s="10" t="s">
        <v>19</v>
      </c>
      <c r="AH27" s="158">
        <f t="shared" si="7"/>
        <v>-0.51400000000000001</v>
      </c>
      <c r="AI27" s="158">
        <f t="shared" si="7"/>
        <v>-0.504</v>
      </c>
      <c r="AJ27" s="158">
        <f t="shared" si="7"/>
        <v>-0.51200000000000001</v>
      </c>
      <c r="AK27" s="158">
        <f t="shared" si="7"/>
        <v>-0.53499999999999992</v>
      </c>
      <c r="AL27" s="158">
        <f t="shared" si="7"/>
        <v>-0.52</v>
      </c>
      <c r="AM27" s="158">
        <f t="shared" si="7"/>
        <v>-0.51600000000000001</v>
      </c>
      <c r="AN27" s="158">
        <f t="shared" si="7"/>
        <v>-0.52600000000000002</v>
      </c>
      <c r="AO27" s="158">
        <f t="shared" si="7"/>
        <v>-0.52</v>
      </c>
      <c r="AP27" s="158">
        <f t="shared" si="7"/>
        <v>-0.53600000000000003</v>
      </c>
      <c r="AQ27" s="158">
        <f t="shared" si="7"/>
        <v>-0.53099999999999992</v>
      </c>
      <c r="AR27" s="158">
        <f t="shared" si="7"/>
        <v>1.0000000000000009E-3</v>
      </c>
      <c r="AS27" s="158">
        <f t="shared" si="7"/>
        <v>1.0000000000000009E-3</v>
      </c>
      <c r="AU27" s="736"/>
      <c r="AV27" s="408" t="s">
        <v>19</v>
      </c>
      <c r="AW27" s="158">
        <f t="shared" ref="AW27:BH27" si="18">AW9-AW18</f>
        <v>1.0000000000000009E-3</v>
      </c>
      <c r="AX27" s="158">
        <f t="shared" si="18"/>
        <v>0</v>
      </c>
      <c r="AY27" s="158">
        <f t="shared" si="18"/>
        <v>-0.5129999999999999</v>
      </c>
      <c r="AZ27" s="158">
        <f t="shared" si="18"/>
        <v>-0.51899999999999991</v>
      </c>
      <c r="BA27" s="158">
        <f t="shared" si="18"/>
        <v>-0.52200000000000002</v>
      </c>
      <c r="BB27" s="158">
        <f t="shared" si="18"/>
        <v>-0.52600000000000002</v>
      </c>
      <c r="BC27" s="158">
        <f t="shared" si="18"/>
        <v>1.0000000000000009E-3</v>
      </c>
      <c r="BD27" s="158">
        <f t="shared" si="18"/>
        <v>1.0000000000000009E-3</v>
      </c>
      <c r="BE27" s="158">
        <f t="shared" si="18"/>
        <v>1.0000000000000009E-3</v>
      </c>
      <c r="BF27" s="158">
        <f t="shared" si="18"/>
        <v>1.0000000000000009E-3</v>
      </c>
      <c r="BG27" s="158">
        <f t="shared" si="18"/>
        <v>0</v>
      </c>
      <c r="BH27" s="166">
        <f t="shared" si="18"/>
        <v>0</v>
      </c>
      <c r="BJ27" s="736"/>
      <c r="BK27" s="408" t="s">
        <v>19</v>
      </c>
      <c r="BL27" s="158">
        <f t="shared" ref="BL27:BW27" si="19">BL9-BL18</f>
        <v>1.0000000000000009E-3</v>
      </c>
      <c r="BM27" s="158">
        <f t="shared" si="19"/>
        <v>1.0000000000000009E-3</v>
      </c>
      <c r="BN27" s="158">
        <f t="shared" si="19"/>
        <v>-0.56400000000000006</v>
      </c>
      <c r="BO27" s="158">
        <f t="shared" si="19"/>
        <v>-0.56400000000000006</v>
      </c>
      <c r="BP27" s="158">
        <f t="shared" si="19"/>
        <v>0</v>
      </c>
      <c r="BQ27" s="158">
        <f t="shared" si="19"/>
        <v>1.0000000000000009E-3</v>
      </c>
      <c r="BR27" s="158">
        <f t="shared" si="19"/>
        <v>1.0000000000000009E-3</v>
      </c>
      <c r="BS27" s="158">
        <f t="shared" si="19"/>
        <v>0</v>
      </c>
      <c r="BT27" s="158">
        <f t="shared" si="19"/>
        <v>1.0000000000000009E-3</v>
      </c>
      <c r="BU27" s="158">
        <f t="shared" si="19"/>
        <v>1.0000000000000009E-3</v>
      </c>
      <c r="BV27" s="158">
        <f t="shared" si="19"/>
        <v>0</v>
      </c>
      <c r="BW27" s="166">
        <f t="shared" si="19"/>
        <v>1.0000000000000009E-3</v>
      </c>
    </row>
    <row r="28" spans="2:75" ht="15.75" thickBot="1" x14ac:dyDescent="0.3">
      <c r="B28" s="714"/>
      <c r="C28" s="159" t="s">
        <v>20</v>
      </c>
      <c r="D28" s="160">
        <f t="shared" si="5"/>
        <v>1.0000000000000009E-3</v>
      </c>
      <c r="E28" s="160">
        <f t="shared" si="5"/>
        <v>1.0000000000000009E-3</v>
      </c>
      <c r="F28" s="160">
        <f t="shared" si="5"/>
        <v>1.0000000000000009E-3</v>
      </c>
      <c r="G28" s="160">
        <f t="shared" si="5"/>
        <v>1.0000000000000009E-3</v>
      </c>
      <c r="H28" s="160">
        <f t="shared" si="5"/>
        <v>-0.5089999999999999</v>
      </c>
      <c r="I28" s="160">
        <f t="shared" si="5"/>
        <v>-0.52</v>
      </c>
      <c r="J28" s="160">
        <f t="shared" si="5"/>
        <v>-0.50800000000000001</v>
      </c>
      <c r="K28" s="160">
        <f t="shared" si="5"/>
        <v>-0.50800000000000001</v>
      </c>
      <c r="L28" s="160">
        <f t="shared" si="5"/>
        <v>-0.5129999999999999</v>
      </c>
      <c r="M28" s="160">
        <f t="shared" si="5"/>
        <v>-0.51899999999999991</v>
      </c>
      <c r="N28" s="160">
        <f t="shared" si="5"/>
        <v>1.0000000000000009E-3</v>
      </c>
      <c r="O28" s="160">
        <f t="shared" si="5"/>
        <v>1.0000000000000009E-3</v>
      </c>
      <c r="Q28" s="714"/>
      <c r="R28" s="22" t="s">
        <v>20</v>
      </c>
      <c r="S28" s="158">
        <f t="shared" si="6"/>
        <v>-0.49399999999999994</v>
      </c>
      <c r="T28" s="158">
        <f t="shared" si="6"/>
        <v>-0.504</v>
      </c>
      <c r="U28" s="158">
        <f t="shared" si="6"/>
        <v>-0.50499999999999989</v>
      </c>
      <c r="V28" s="158">
        <f t="shared" si="6"/>
        <v>-0.5089999999999999</v>
      </c>
      <c r="W28" s="158">
        <f t="shared" si="6"/>
        <v>1.0000000000000009E-3</v>
      </c>
      <c r="X28" s="158">
        <f t="shared" si="6"/>
        <v>1.0000000000000009E-3</v>
      </c>
      <c r="Y28" s="158">
        <f t="shared" si="6"/>
        <v>-0.5149999999999999</v>
      </c>
      <c r="Z28" s="158">
        <f t="shared" si="6"/>
        <v>-0.51899999999999991</v>
      </c>
      <c r="AA28" s="158">
        <f t="shared" si="6"/>
        <v>-0.50600000000000001</v>
      </c>
      <c r="AB28" s="158">
        <f t="shared" si="6"/>
        <v>-0.50800000000000001</v>
      </c>
      <c r="AC28" s="158">
        <f t="shared" si="6"/>
        <v>1.0000000000000009E-3</v>
      </c>
      <c r="AD28" s="158">
        <f t="shared" si="6"/>
        <v>1.0000000000000009E-3</v>
      </c>
      <c r="AF28" s="715"/>
      <c r="AG28" s="22" t="s">
        <v>20</v>
      </c>
      <c r="AH28" s="158">
        <f t="shared" si="7"/>
        <v>1.0000000000000009E-3</v>
      </c>
      <c r="AI28" s="158">
        <f t="shared" si="7"/>
        <v>1.0000000000000009E-3</v>
      </c>
      <c r="AJ28" s="158">
        <f t="shared" si="7"/>
        <v>1.0000000000000009E-3</v>
      </c>
      <c r="AK28" s="158">
        <f t="shared" si="7"/>
        <v>1.0000000000000009E-3</v>
      </c>
      <c r="AL28" s="158">
        <f t="shared" si="7"/>
        <v>0</v>
      </c>
      <c r="AM28" s="158">
        <f t="shared" si="7"/>
        <v>1.0000000000000009E-3</v>
      </c>
      <c r="AN28" s="158">
        <f t="shared" si="7"/>
        <v>-0.51</v>
      </c>
      <c r="AO28" s="158">
        <f t="shared" si="7"/>
        <v>-0.52600000000000002</v>
      </c>
      <c r="AP28" s="158">
        <f t="shared" si="7"/>
        <v>-0.48400000000000004</v>
      </c>
      <c r="AQ28" s="158">
        <f t="shared" si="7"/>
        <v>-0.52600000000000002</v>
      </c>
      <c r="AR28" s="158">
        <f t="shared" si="7"/>
        <v>1.0000000000000009E-3</v>
      </c>
      <c r="AS28" s="158">
        <f t="shared" si="7"/>
        <v>1.0000000000000009E-3</v>
      </c>
      <c r="AU28" s="736"/>
      <c r="AV28" s="409" t="s">
        <v>20</v>
      </c>
      <c r="AW28" s="167">
        <f t="shared" ref="AW28:BH28" si="20">AW10-AW19</f>
        <v>0</v>
      </c>
      <c r="AX28" s="167">
        <f t="shared" si="20"/>
        <v>1.0000000000000009E-3</v>
      </c>
      <c r="AY28" s="167">
        <f t="shared" si="20"/>
        <v>1.0000000000000009E-3</v>
      </c>
      <c r="AZ28" s="167">
        <f t="shared" si="20"/>
        <v>1.0000000000000009E-3</v>
      </c>
      <c r="BA28" s="167">
        <f t="shared" si="20"/>
        <v>0</v>
      </c>
      <c r="BB28" s="167">
        <f t="shared" si="20"/>
        <v>1.0000000000000009E-3</v>
      </c>
      <c r="BC28" s="167">
        <f t="shared" si="20"/>
        <v>0</v>
      </c>
      <c r="BD28" s="167">
        <f t="shared" si="20"/>
        <v>1.0000000000000009E-3</v>
      </c>
      <c r="BE28" s="167">
        <f t="shared" si="20"/>
        <v>1.0000000000000009E-3</v>
      </c>
      <c r="BF28" s="167">
        <f t="shared" si="20"/>
        <v>1.0000000000000009E-3</v>
      </c>
      <c r="BG28" s="167">
        <f t="shared" si="20"/>
        <v>1.0000000000000009E-3</v>
      </c>
      <c r="BH28" s="168">
        <f t="shared" si="20"/>
        <v>1.0000000000000009E-3</v>
      </c>
      <c r="BJ28" s="736"/>
      <c r="BK28" s="409" t="s">
        <v>20</v>
      </c>
      <c r="BL28" s="167">
        <f t="shared" ref="BL28:BW28" si="21">BL10-BL19</f>
        <v>1.0000000000000009E-3</v>
      </c>
      <c r="BM28" s="167">
        <f t="shared" si="21"/>
        <v>2.0000000000000018E-3</v>
      </c>
      <c r="BN28" s="167">
        <f t="shared" si="21"/>
        <v>0</v>
      </c>
      <c r="BO28" s="167">
        <f t="shared" si="21"/>
        <v>1.0000000000000009E-3</v>
      </c>
      <c r="BP28" s="167">
        <f t="shared" si="21"/>
        <v>1.0000000000000009E-3</v>
      </c>
      <c r="BQ28" s="167">
        <f t="shared" si="21"/>
        <v>1.0000000000000009E-3</v>
      </c>
      <c r="BR28" s="167">
        <f t="shared" si="21"/>
        <v>1.0000000000000009E-3</v>
      </c>
      <c r="BS28" s="167">
        <f t="shared" si="21"/>
        <v>1.0000000000000009E-3</v>
      </c>
      <c r="BT28" s="167">
        <f t="shared" si="21"/>
        <v>0</v>
      </c>
      <c r="BU28" s="167">
        <f t="shared" si="21"/>
        <v>1.0000000000000009E-3</v>
      </c>
      <c r="BV28" s="167">
        <f t="shared" si="21"/>
        <v>1.0000000000000009E-3</v>
      </c>
      <c r="BW28" s="168">
        <f t="shared" si="21"/>
        <v>2.0000000000000018E-3</v>
      </c>
    </row>
    <row r="29" spans="2:75" ht="15" customHeight="1" x14ac:dyDescent="0.25">
      <c r="B29" s="698" t="s">
        <v>89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/>
      <c r="Q29" s="698" t="s">
        <v>89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F29" s="689" t="s">
        <v>89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  <c r="AU29" s="689" t="s">
        <v>89</v>
      </c>
      <c r="BH29" s="4"/>
      <c r="BJ29" s="689" t="s">
        <v>89</v>
      </c>
      <c r="BW29" s="4"/>
    </row>
    <row r="30" spans="2:75" x14ac:dyDescent="0.25">
      <c r="B30" s="699"/>
      <c r="O30" s="4"/>
      <c r="Q30" s="699"/>
      <c r="AD30" s="4"/>
      <c r="AF30" s="690"/>
      <c r="AS30" s="4"/>
      <c r="AU30" s="690"/>
      <c r="BH30" s="4"/>
      <c r="BJ30" s="690"/>
      <c r="BW30" s="4"/>
    </row>
    <row r="31" spans="2:75" x14ac:dyDescent="0.25">
      <c r="B31" s="699"/>
      <c r="C31" s="131"/>
      <c r="D31" s="133">
        <v>0</v>
      </c>
      <c r="O31" s="4"/>
      <c r="Q31" s="699"/>
      <c r="R31" s="161"/>
      <c r="S31" s="133">
        <v>0</v>
      </c>
      <c r="AD31" s="4"/>
      <c r="AF31" s="690"/>
      <c r="AG31">
        <f>AVERAGE(AH21:AH22)</f>
        <v>-0.57100000000000006</v>
      </c>
      <c r="AH31" s="133">
        <v>0</v>
      </c>
      <c r="AS31" s="4"/>
      <c r="AU31" s="690"/>
      <c r="AW31" s="133">
        <v>0</v>
      </c>
      <c r="BH31" s="4"/>
      <c r="BJ31" s="690"/>
      <c r="BL31" s="133">
        <v>0</v>
      </c>
      <c r="BW31" s="4"/>
    </row>
    <row r="32" spans="2:75" x14ac:dyDescent="0.25">
      <c r="B32" s="699"/>
      <c r="C32" s="135"/>
      <c r="D32" s="132">
        <v>1</v>
      </c>
      <c r="O32" s="4"/>
      <c r="Q32" s="699"/>
      <c r="R32" s="157">
        <f>AVERAGE(T21:T22)</f>
        <v>-0.56700000000000006</v>
      </c>
      <c r="S32" s="132">
        <v>1</v>
      </c>
      <c r="AD32" s="4"/>
      <c r="AF32" s="690"/>
      <c r="AG32">
        <f>AVERAGE(AI21:AI22)</f>
        <v>-0.57050000000000001</v>
      </c>
      <c r="AH32" s="132">
        <v>1</v>
      </c>
      <c r="AS32" s="4"/>
      <c r="AU32" s="690"/>
      <c r="AV32">
        <f>AVERAGE(AX21:AX22)</f>
        <v>-0.56700000000000006</v>
      </c>
      <c r="AW32" s="132">
        <v>1</v>
      </c>
      <c r="BH32" s="4"/>
      <c r="BJ32" s="690"/>
      <c r="BL32" s="132">
        <v>1</v>
      </c>
      <c r="BW32" s="4"/>
    </row>
    <row r="33" spans="2:75" x14ac:dyDescent="0.25">
      <c r="B33" s="699"/>
      <c r="C33" s="135"/>
      <c r="D33" s="132">
        <v>2</v>
      </c>
      <c r="O33" s="4"/>
      <c r="Q33" s="699"/>
      <c r="R33" s="157">
        <f>AVERAGE(U21:U22)</f>
        <v>-0.5605</v>
      </c>
      <c r="S33" s="132">
        <v>2</v>
      </c>
      <c r="AD33" s="4"/>
      <c r="AF33" s="690"/>
      <c r="AH33" s="132">
        <v>2</v>
      </c>
      <c r="AS33" s="4"/>
      <c r="AU33" s="690"/>
      <c r="AV33">
        <f>AVERAGE(AY21:AY22)</f>
        <v>-0.5585</v>
      </c>
      <c r="AW33" s="132">
        <v>2</v>
      </c>
      <c r="BH33" s="4"/>
      <c r="BJ33" s="690"/>
      <c r="BK33">
        <f>AVERAGE(BN21:BN22)</f>
        <v>-0.61</v>
      </c>
      <c r="BL33" s="132">
        <v>2</v>
      </c>
      <c r="BW33" s="4"/>
    </row>
    <row r="34" spans="2:75" x14ac:dyDescent="0.25">
      <c r="B34" s="699"/>
      <c r="C34" s="157">
        <f>AVERAGE(G21:G22)</f>
        <v>-0.55449999999999999</v>
      </c>
      <c r="D34" s="132">
        <v>4</v>
      </c>
      <c r="O34" s="4"/>
      <c r="Q34" s="699"/>
      <c r="R34" s="157">
        <f>AVERAGE(V21:V22)</f>
        <v>-0.55400000000000005</v>
      </c>
      <c r="S34" s="132">
        <v>4</v>
      </c>
      <c r="AD34" s="4"/>
      <c r="AF34" s="690"/>
      <c r="AG34">
        <f>AVERAGE(AK21:AK22)</f>
        <v>-0.55349999999999999</v>
      </c>
      <c r="AH34" s="132">
        <v>4</v>
      </c>
      <c r="AS34" s="4"/>
      <c r="AU34" s="690"/>
      <c r="AV34">
        <f>AVERAGE(AZ21:AZ22)</f>
        <v>-0.55349999999999999</v>
      </c>
      <c r="AW34" s="132">
        <v>4</v>
      </c>
      <c r="BH34" s="4"/>
      <c r="BJ34" s="690"/>
      <c r="BK34">
        <f>AVERAGE(BO21:BO22)</f>
        <v>-0.6</v>
      </c>
      <c r="BL34" s="132">
        <v>4</v>
      </c>
      <c r="BW34" s="4"/>
    </row>
    <row r="35" spans="2:75" x14ac:dyDescent="0.25">
      <c r="B35" s="699"/>
      <c r="C35" s="157">
        <f>AVERAGE(H21:H22)-C31</f>
        <v>-0.53649999999999998</v>
      </c>
      <c r="D35" s="132">
        <v>8</v>
      </c>
      <c r="N35" s="163" t="s">
        <v>90</v>
      </c>
      <c r="O35" s="164">
        <v>240.65</v>
      </c>
      <c r="Q35" s="699"/>
      <c r="R35" s="157">
        <f>AVERAGE(W21:W22)</f>
        <v>-0.53749999999999998</v>
      </c>
      <c r="S35" s="132">
        <v>8</v>
      </c>
      <c r="AC35" s="163" t="s">
        <v>90</v>
      </c>
      <c r="AD35" s="164">
        <v>207.1</v>
      </c>
      <c r="AF35" s="690"/>
      <c r="AH35" s="132">
        <v>8</v>
      </c>
      <c r="AR35" s="163" t="s">
        <v>90</v>
      </c>
      <c r="AS35" s="164">
        <v>239.51</v>
      </c>
      <c r="AU35" s="690"/>
      <c r="AV35">
        <f>AVERAGE(BA21:BA22)</f>
        <v>-0.53149999999999997</v>
      </c>
      <c r="AW35" s="132">
        <v>8</v>
      </c>
      <c r="BG35" s="163" t="s">
        <v>90</v>
      </c>
      <c r="BH35" s="164">
        <v>218.26</v>
      </c>
      <c r="BJ35" s="690"/>
      <c r="BK35">
        <f>AVERAGE(BP21:BP22)</f>
        <v>-0.58500000000000008</v>
      </c>
      <c r="BL35" s="132">
        <v>8</v>
      </c>
      <c r="BV35" s="163" t="s">
        <v>90</v>
      </c>
      <c r="BW35" s="164">
        <v>216.89</v>
      </c>
    </row>
    <row r="36" spans="2:75" x14ac:dyDescent="0.25">
      <c r="B36" s="699"/>
      <c r="C36" s="157">
        <f>AVERAGE(I21:I22)-C31</f>
        <v>-0.52900000000000003</v>
      </c>
      <c r="D36" s="132">
        <v>10</v>
      </c>
      <c r="N36" s="138" t="s">
        <v>91</v>
      </c>
      <c r="O36" s="165">
        <v>137.16999999999999</v>
      </c>
      <c r="Q36" s="699"/>
      <c r="R36" s="157">
        <f>AVERAGE(X21:X22)</f>
        <v>-0.52449999999999997</v>
      </c>
      <c r="S36" s="132">
        <v>10</v>
      </c>
      <c r="AC36" s="138" t="s">
        <v>91</v>
      </c>
      <c r="AD36" s="165">
        <v>118.57</v>
      </c>
      <c r="AF36" s="690"/>
      <c r="AG36">
        <f>AVERAGE(AM21:AM22)</f>
        <v>-0.53599999999999992</v>
      </c>
      <c r="AH36" s="132">
        <v>10</v>
      </c>
      <c r="AR36" s="138" t="s">
        <v>91</v>
      </c>
      <c r="AS36" s="165">
        <v>137.26</v>
      </c>
      <c r="AU36" s="690"/>
      <c r="AV36">
        <f>AVERAGE(BB21:BB22)</f>
        <v>-0.52800000000000002</v>
      </c>
      <c r="AW36" s="132">
        <v>10</v>
      </c>
      <c r="BG36" s="138" t="s">
        <v>91</v>
      </c>
      <c r="BH36" s="165">
        <v>124.52</v>
      </c>
      <c r="BJ36" s="690"/>
      <c r="BK36">
        <f>AVERAGE(BQ21:BQ22)</f>
        <v>-0.57450000000000001</v>
      </c>
      <c r="BL36" s="132">
        <v>10</v>
      </c>
      <c r="BV36" s="138" t="s">
        <v>91</v>
      </c>
      <c r="BW36" s="165">
        <v>134.44999999999999</v>
      </c>
    </row>
    <row r="37" spans="2:75" x14ac:dyDescent="0.25">
      <c r="B37" s="699"/>
      <c r="C37" s="157">
        <f>AVERAGE(J21:J22)-C31</f>
        <v>-0.51800000000000002</v>
      </c>
      <c r="D37" s="132">
        <v>12</v>
      </c>
      <c r="O37" s="4"/>
      <c r="Q37" s="699"/>
      <c r="R37" s="157">
        <f>AVERAGE(Y21:Y22)</f>
        <v>-0.5109999999999999</v>
      </c>
      <c r="S37" s="132">
        <v>12</v>
      </c>
      <c r="AD37" s="4"/>
      <c r="AF37" s="690"/>
      <c r="AG37">
        <f>AVERAGE(AN21:AN22)</f>
        <v>-0.52349999999999997</v>
      </c>
      <c r="AH37" s="132">
        <v>12</v>
      </c>
      <c r="AS37" s="4"/>
      <c r="AU37" s="690"/>
      <c r="AV37">
        <f>AVERAGE(BC21:BC22)</f>
        <v>-0.51449999999999996</v>
      </c>
      <c r="AW37" s="132">
        <v>12</v>
      </c>
      <c r="BH37" s="4"/>
      <c r="BJ37" s="690"/>
      <c r="BK37">
        <f>AVERAGE(BR21:BR22)</f>
        <v>-0.56400000000000006</v>
      </c>
      <c r="BL37" s="132">
        <v>12</v>
      </c>
      <c r="BW37" s="4"/>
    </row>
    <row r="38" spans="2:75" x14ac:dyDescent="0.25">
      <c r="B38" s="699"/>
      <c r="C38" s="157">
        <f>AVERAGE(K21:K22)-C31</f>
        <v>-0.50249999999999995</v>
      </c>
      <c r="D38" s="132">
        <v>16</v>
      </c>
      <c r="O38" s="4"/>
      <c r="Q38" s="699"/>
      <c r="R38" s="157">
        <f>AVERAGE(Z21:Z22)</f>
        <v>-0.499</v>
      </c>
      <c r="S38" s="132">
        <v>16</v>
      </c>
      <c r="AD38" s="4"/>
      <c r="AF38" s="690"/>
      <c r="AG38">
        <f>AVERAGE(AO21:AO22)</f>
        <v>-0.50549999999999995</v>
      </c>
      <c r="AH38" s="132">
        <v>16</v>
      </c>
      <c r="AS38" s="4"/>
      <c r="AU38" s="690"/>
      <c r="AV38">
        <f>AVERAGE(BD21:BD22)</f>
        <v>-0.4995</v>
      </c>
      <c r="AW38" s="132">
        <v>16</v>
      </c>
      <c r="BH38" s="4"/>
      <c r="BJ38" s="690"/>
      <c r="BK38">
        <f>AVERAGE(BS21:BS22)</f>
        <v>-0.54649999999999999</v>
      </c>
      <c r="BL38" s="132">
        <v>16</v>
      </c>
      <c r="BW38" s="4"/>
    </row>
    <row r="39" spans="2:75" x14ac:dyDescent="0.25">
      <c r="B39" s="699"/>
      <c r="C39" s="157">
        <f>AVERAGE(L21:L22)-C31</f>
        <v>-0.48849999999999999</v>
      </c>
      <c r="D39" s="132">
        <v>20</v>
      </c>
      <c r="O39" s="4"/>
      <c r="Q39" s="699"/>
      <c r="R39" s="157">
        <f>AVERAGE(AA21:AA22)</f>
        <v>-0.47499999999999998</v>
      </c>
      <c r="S39" s="132">
        <v>20</v>
      </c>
      <c r="AD39" s="4"/>
      <c r="AF39" s="690"/>
      <c r="AG39">
        <f>AVERAGE(AP21:AP22)</f>
        <v>-0.48849999999999999</v>
      </c>
      <c r="AH39" s="132">
        <v>20</v>
      </c>
      <c r="AS39" s="4"/>
      <c r="AU39" s="690"/>
      <c r="AV39">
        <f>AVERAGE(BE21:BE22)</f>
        <v>-0.47349999999999998</v>
      </c>
      <c r="AW39" s="132">
        <v>20</v>
      </c>
      <c r="BH39" s="4"/>
      <c r="BJ39" s="690"/>
      <c r="BK39">
        <f>AVERAGE(BT21:BT22)</f>
        <v>-0.52849999999999997</v>
      </c>
      <c r="BL39" s="132">
        <v>20</v>
      </c>
      <c r="BW39" s="4"/>
    </row>
    <row r="40" spans="2:75" x14ac:dyDescent="0.25">
      <c r="B40" s="699"/>
      <c r="C40" s="157">
        <f>AVERAGE(M21:M22)-C31</f>
        <v>-0.47049999999999997</v>
      </c>
      <c r="D40" s="132">
        <v>24</v>
      </c>
      <c r="O40" s="4"/>
      <c r="Q40" s="699"/>
      <c r="R40" s="157">
        <f>AVERAGE(AB21:AB22)</f>
        <v>-0.45600000000000007</v>
      </c>
      <c r="S40" s="132">
        <v>24</v>
      </c>
      <c r="AD40" s="4"/>
      <c r="AF40" s="690"/>
      <c r="AH40" s="132">
        <v>24</v>
      </c>
      <c r="AS40" s="4"/>
      <c r="AU40" s="690"/>
      <c r="AV40">
        <f>AVERAGE(BF21:BF22)</f>
        <v>-0.46399999999999997</v>
      </c>
      <c r="AW40" s="132">
        <v>24</v>
      </c>
      <c r="BH40" s="4"/>
      <c r="BJ40" s="690"/>
      <c r="BK40">
        <f>AVERAGE(BU21:BU22)</f>
        <v>-0.50800000000000001</v>
      </c>
      <c r="BL40" s="132">
        <v>24</v>
      </c>
      <c r="BW40" s="4"/>
    </row>
    <row r="41" spans="2:75" x14ac:dyDescent="0.25">
      <c r="B41" s="699"/>
      <c r="C41" s="162"/>
      <c r="D41" s="134"/>
      <c r="O41" s="4"/>
      <c r="Q41" s="699"/>
      <c r="R41" s="162"/>
      <c r="S41" s="134"/>
      <c r="AD41" s="4"/>
      <c r="AF41" s="690"/>
      <c r="AS41" s="4"/>
      <c r="AU41" s="690"/>
      <c r="BH41" s="4"/>
      <c r="BJ41" s="690"/>
      <c r="BW41" s="4"/>
    </row>
    <row r="42" spans="2:75" x14ac:dyDescent="0.25">
      <c r="B42" s="699"/>
      <c r="O42" s="4"/>
      <c r="Q42" s="699"/>
      <c r="AD42" s="4"/>
      <c r="AF42" s="690"/>
      <c r="AS42" s="4"/>
      <c r="AU42" s="690"/>
      <c r="BH42" s="4"/>
      <c r="BJ42" s="690"/>
      <c r="BW42" s="4"/>
    </row>
    <row r="43" spans="2:75" ht="15.75" thickBot="1" x14ac:dyDescent="0.3">
      <c r="B43" s="70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Q43" s="700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AF43" s="691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7"/>
      <c r="AU43" s="691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7"/>
      <c r="BJ43" s="691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7"/>
    </row>
    <row r="44" spans="2:75" ht="15" customHeight="1" x14ac:dyDescent="0.25">
      <c r="B44" s="713" t="s">
        <v>141</v>
      </c>
      <c r="C44" s="18"/>
      <c r="D44" s="19">
        <v>1</v>
      </c>
      <c r="E44" s="19">
        <v>2</v>
      </c>
      <c r="F44" s="19">
        <v>3</v>
      </c>
      <c r="G44" s="19">
        <v>4</v>
      </c>
      <c r="H44" s="19">
        <v>5</v>
      </c>
      <c r="I44" s="19">
        <v>6</v>
      </c>
      <c r="J44" s="19">
        <v>7</v>
      </c>
      <c r="K44" s="19">
        <v>8</v>
      </c>
      <c r="L44" s="19">
        <v>9</v>
      </c>
      <c r="M44" s="19">
        <v>10</v>
      </c>
      <c r="N44" s="19">
        <v>11</v>
      </c>
      <c r="O44" s="20">
        <v>12</v>
      </c>
      <c r="Q44" s="713" t="s">
        <v>141</v>
      </c>
      <c r="R44" s="18"/>
      <c r="S44" s="19">
        <v>1</v>
      </c>
      <c r="T44" s="19">
        <v>2</v>
      </c>
      <c r="U44" s="19">
        <v>3</v>
      </c>
      <c r="V44" s="19">
        <v>4</v>
      </c>
      <c r="W44" s="19">
        <v>5</v>
      </c>
      <c r="X44" s="19">
        <v>6</v>
      </c>
      <c r="Y44" s="19">
        <v>7</v>
      </c>
      <c r="Z44" s="19">
        <v>8</v>
      </c>
      <c r="AA44" s="19">
        <v>9</v>
      </c>
      <c r="AB44" s="19">
        <v>10</v>
      </c>
      <c r="AC44" s="19">
        <v>11</v>
      </c>
      <c r="AD44" s="20">
        <v>12</v>
      </c>
      <c r="AF44" s="713" t="s">
        <v>141</v>
      </c>
      <c r="AG44" s="18"/>
      <c r="AH44" s="19">
        <v>1</v>
      </c>
      <c r="AI44" s="19">
        <v>2</v>
      </c>
      <c r="AJ44" s="19">
        <v>3</v>
      </c>
      <c r="AK44" s="19">
        <v>4</v>
      </c>
      <c r="AL44" s="19">
        <v>5</v>
      </c>
      <c r="AM44" s="19">
        <v>6</v>
      </c>
      <c r="AN44" s="19">
        <v>7</v>
      </c>
      <c r="AO44" s="19">
        <v>8</v>
      </c>
      <c r="AP44" s="19">
        <v>9</v>
      </c>
      <c r="AQ44" s="19">
        <v>10</v>
      </c>
      <c r="AR44" s="19">
        <v>11</v>
      </c>
      <c r="AS44" s="20">
        <v>12</v>
      </c>
      <c r="AU44" s="714" t="s">
        <v>141</v>
      </c>
      <c r="AV44" s="18"/>
      <c r="AW44" s="19">
        <v>1</v>
      </c>
      <c r="AX44" s="19">
        <v>2</v>
      </c>
      <c r="AY44" s="19">
        <v>3</v>
      </c>
      <c r="AZ44" s="19">
        <v>4</v>
      </c>
      <c r="BA44" s="19">
        <v>5</v>
      </c>
      <c r="BB44" s="19">
        <v>6</v>
      </c>
      <c r="BC44" s="19">
        <v>7</v>
      </c>
      <c r="BD44" s="19">
        <v>8</v>
      </c>
      <c r="BE44" s="19">
        <v>9</v>
      </c>
      <c r="BF44" s="19">
        <v>10</v>
      </c>
      <c r="BG44" s="19">
        <v>11</v>
      </c>
      <c r="BH44" s="20">
        <v>12</v>
      </c>
      <c r="BJ44" s="714" t="s">
        <v>141</v>
      </c>
      <c r="BK44" s="18"/>
      <c r="BL44" s="19">
        <v>1</v>
      </c>
      <c r="BM44" s="19">
        <v>2</v>
      </c>
      <c r="BN44" s="19">
        <v>3</v>
      </c>
      <c r="BO44" s="19">
        <v>4</v>
      </c>
      <c r="BP44" s="19">
        <v>5</v>
      </c>
      <c r="BQ44" s="19">
        <v>6</v>
      </c>
      <c r="BR44" s="19">
        <v>7</v>
      </c>
      <c r="BS44" s="19">
        <v>8</v>
      </c>
      <c r="BT44" s="19">
        <v>9</v>
      </c>
      <c r="BU44" s="19">
        <v>10</v>
      </c>
      <c r="BV44" s="19">
        <v>11</v>
      </c>
      <c r="BW44" s="20">
        <v>12</v>
      </c>
    </row>
    <row r="45" spans="2:75" x14ac:dyDescent="0.25">
      <c r="B45" s="714"/>
      <c r="C45" s="10" t="s">
        <v>13</v>
      </c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66"/>
      <c r="Q45" s="714"/>
      <c r="R45" s="10" t="s">
        <v>13</v>
      </c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>
        <f>AC21*$AD$35+$AD$36</f>
        <v>15.848400000000012</v>
      </c>
      <c r="AD45" s="158">
        <f>AD21*$AD$35+$AD$36</f>
        <v>16.055500000000009</v>
      </c>
      <c r="AF45" s="714"/>
      <c r="AG45" s="10" t="s">
        <v>13</v>
      </c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U45" s="714"/>
      <c r="AV45" s="10" t="s">
        <v>13</v>
      </c>
      <c r="AW45" s="158">
        <f>AW21*$BH$35+$BH$36</f>
        <v>0.11179999999998813</v>
      </c>
      <c r="AX45" s="158">
        <f t="shared" ref="AX45:BF45" si="22">AX21*$BH$35+$BH$36</f>
        <v>1.4213599999999929</v>
      </c>
      <c r="AY45" s="158">
        <f t="shared" si="22"/>
        <v>2.294399999999996</v>
      </c>
      <c r="AZ45" s="158">
        <f t="shared" si="22"/>
        <v>4.0404799999999881</v>
      </c>
      <c r="BA45" s="158">
        <f t="shared" si="22"/>
        <v>8.8421999999999912</v>
      </c>
      <c r="BB45" s="158">
        <f t="shared" si="22"/>
        <v>9.9335000000000235</v>
      </c>
      <c r="BC45" s="158">
        <f t="shared" si="22"/>
        <v>12.552620000000019</v>
      </c>
      <c r="BD45" s="158">
        <f t="shared" si="22"/>
        <v>15.39</v>
      </c>
      <c r="BE45" s="158">
        <f t="shared" si="22"/>
        <v>20.846500000000006</v>
      </c>
      <c r="BF45" s="158">
        <f t="shared" si="22"/>
        <v>24.556920000000005</v>
      </c>
      <c r="BG45" s="158"/>
      <c r="BH45" s="158"/>
      <c r="BJ45" s="714"/>
      <c r="BK45" s="10" t="s">
        <v>13</v>
      </c>
      <c r="BL45" s="158">
        <f>BL21*$BW$35+$BW$36</f>
        <v>1.2795400000000257</v>
      </c>
      <c r="BM45" s="158">
        <f t="shared" ref="BM45:BU45" si="23">BM21*$BW$35+$BW$36</f>
        <v>2.7977700000000141</v>
      </c>
      <c r="BN45" s="158">
        <f t="shared" si="23"/>
        <v>1.9302099999999882</v>
      </c>
      <c r="BO45" s="158">
        <f t="shared" si="23"/>
        <v>4.532890000000009</v>
      </c>
      <c r="BP45" s="158">
        <f t="shared" si="23"/>
        <v>7.3524599999999793</v>
      </c>
      <c r="BQ45" s="158">
        <f t="shared" si="23"/>
        <v>9.9551399999999859</v>
      </c>
      <c r="BR45" s="158">
        <f t="shared" si="23"/>
        <v>12.991599999999991</v>
      </c>
      <c r="BS45" s="158">
        <f t="shared" si="23"/>
        <v>16.244949999999989</v>
      </c>
      <c r="BT45" s="158">
        <f t="shared" si="23"/>
        <v>20.365859999999998</v>
      </c>
      <c r="BU45" s="158">
        <f t="shared" si="23"/>
        <v>24.920549999999992</v>
      </c>
      <c r="BV45" s="158"/>
      <c r="BW45" s="158"/>
    </row>
    <row r="46" spans="2:75" x14ac:dyDescent="0.25">
      <c r="B46" s="714"/>
      <c r="C46" s="10" t="s">
        <v>14</v>
      </c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66"/>
      <c r="Q46" s="714"/>
      <c r="R46" s="10" t="s">
        <v>14</v>
      </c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>
        <f t="shared" ref="S46:AD52" si="24">AC22*$AD$35+$AD$36</f>
        <v>13.363199999999992</v>
      </c>
      <c r="AD46" s="158">
        <f t="shared" si="24"/>
        <v>12.948999999999998</v>
      </c>
      <c r="AF46" s="714"/>
      <c r="AG46" s="10" t="s">
        <v>14</v>
      </c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U46" s="714"/>
      <c r="AV46" s="10" t="s">
        <v>14</v>
      </c>
      <c r="AW46" s="158">
        <f t="shared" ref="AW46:BF51" si="25">AW22*$BH$35+$BH$36</f>
        <v>4.9135199999999912</v>
      </c>
      <c r="AX46" s="158">
        <f t="shared" si="25"/>
        <v>0.11179999999998813</v>
      </c>
      <c r="AY46" s="158">
        <f t="shared" si="25"/>
        <v>2.9491800000000126</v>
      </c>
      <c r="AZ46" s="158">
        <f t="shared" si="25"/>
        <v>3.3857000000000141</v>
      </c>
      <c r="BA46" s="158">
        <f t="shared" si="25"/>
        <v>8.1874200000000172</v>
      </c>
      <c r="BB46" s="158">
        <f t="shared" si="25"/>
        <v>8.6239399999999904</v>
      </c>
      <c r="BC46" s="158">
        <f t="shared" si="25"/>
        <v>11.897840000000002</v>
      </c>
      <c r="BD46" s="158">
        <f t="shared" si="25"/>
        <v>15.608260000000001</v>
      </c>
      <c r="BE46" s="158">
        <f t="shared" si="25"/>
        <v>21.501280000000008</v>
      </c>
      <c r="BF46" s="158">
        <f t="shared" si="25"/>
        <v>21.93780000000001</v>
      </c>
      <c r="BG46" s="158"/>
      <c r="BH46" s="158"/>
      <c r="BJ46" s="714"/>
      <c r="BK46" s="10" t="s">
        <v>14</v>
      </c>
      <c r="BL46" s="158">
        <f t="shared" ref="BL46:BU51" si="26">BL22*$BW$35+$BW$36</f>
        <v>1.4964300000000037</v>
      </c>
      <c r="BM46" s="158">
        <f t="shared" si="26"/>
        <v>1.2795400000000257</v>
      </c>
      <c r="BN46" s="158">
        <f t="shared" si="26"/>
        <v>2.3639900000000011</v>
      </c>
      <c r="BO46" s="158">
        <f t="shared" si="26"/>
        <v>4.099109999999996</v>
      </c>
      <c r="BP46" s="158">
        <f t="shared" si="26"/>
        <v>7.7862399999999781</v>
      </c>
      <c r="BQ46" s="158">
        <f t="shared" si="26"/>
        <v>9.7382499999999794</v>
      </c>
      <c r="BR46" s="158">
        <f t="shared" si="26"/>
        <v>11.256479999999982</v>
      </c>
      <c r="BS46" s="158">
        <f t="shared" si="26"/>
        <v>15.594279999999983</v>
      </c>
      <c r="BT46" s="158">
        <f t="shared" si="26"/>
        <v>19.281409999999994</v>
      </c>
      <c r="BU46" s="158">
        <f t="shared" si="26"/>
        <v>23.619209999999995</v>
      </c>
      <c r="BV46" s="158"/>
      <c r="BW46" s="158"/>
    </row>
    <row r="47" spans="2:75" x14ac:dyDescent="0.25">
      <c r="B47" s="714"/>
      <c r="C47" s="10" t="s">
        <v>15</v>
      </c>
      <c r="D47" s="158">
        <f t="shared" ref="D47:M52" si="27">D23*$O$35+$O$36</f>
        <v>11.550699999999978</v>
      </c>
      <c r="E47" s="158">
        <f t="shared" si="27"/>
        <v>13.716550000000012</v>
      </c>
      <c r="F47" s="158">
        <f t="shared" si="27"/>
        <v>15.641750000000016</v>
      </c>
      <c r="G47" s="158">
        <f t="shared" si="27"/>
        <v>14.919799999999981</v>
      </c>
      <c r="H47" s="158">
        <f t="shared" si="27"/>
        <v>11.069399999999973</v>
      </c>
      <c r="I47" s="158">
        <f t="shared" si="27"/>
        <v>11.310050000000004</v>
      </c>
      <c r="J47" s="158">
        <f t="shared" si="27"/>
        <v>11.550699999999978</v>
      </c>
      <c r="K47" s="158">
        <f t="shared" si="27"/>
        <v>10.347450000000009</v>
      </c>
      <c r="L47" s="158">
        <f t="shared" si="27"/>
        <v>11.550699999999978</v>
      </c>
      <c r="M47" s="158">
        <f t="shared" si="27"/>
        <v>-1.9257000000000062</v>
      </c>
      <c r="N47" s="158"/>
      <c r="O47" s="166"/>
      <c r="Q47" s="714"/>
      <c r="R47" s="10" t="s">
        <v>15</v>
      </c>
      <c r="S47" s="158">
        <f t="shared" si="24"/>
        <v>16.055500000000009</v>
      </c>
      <c r="T47" s="158">
        <f t="shared" si="24"/>
        <v>16.262600000000006</v>
      </c>
      <c r="U47" s="158">
        <f t="shared" si="24"/>
        <v>13.156100000000023</v>
      </c>
      <c r="V47" s="158">
        <f t="shared" si="24"/>
        <v>13.984500000000011</v>
      </c>
      <c r="W47" s="158">
        <f t="shared" si="24"/>
        <v>9.2211999999999961</v>
      </c>
      <c r="X47" s="158">
        <f t="shared" si="24"/>
        <v>9.2211999999999961</v>
      </c>
      <c r="Y47" s="158">
        <f t="shared" si="24"/>
        <v>10.463799999999992</v>
      </c>
      <c r="Z47" s="158">
        <f t="shared" si="24"/>
        <v>10.877999999999986</v>
      </c>
      <c r="AA47" s="158">
        <f t="shared" si="24"/>
        <v>9.4283000000000072</v>
      </c>
      <c r="AB47" s="158">
        <f t="shared" si="24"/>
        <v>11.292199999999994</v>
      </c>
      <c r="AC47" s="158">
        <f t="shared" si="24"/>
        <v>13.570299999999989</v>
      </c>
      <c r="AD47" s="158">
        <f t="shared" si="24"/>
        <v>13.570300000000017</v>
      </c>
      <c r="AF47" s="714"/>
      <c r="AG47" s="10" t="s">
        <v>15</v>
      </c>
      <c r="AH47" s="158">
        <f t="shared" ref="AH47:AS52" si="28">AH23*$AS$35+$AS$36</f>
        <v>25.408829999999995</v>
      </c>
      <c r="AI47" s="158">
        <f t="shared" si="28"/>
        <v>14.391370000000023</v>
      </c>
      <c r="AJ47" s="158">
        <f t="shared" si="28"/>
        <v>12.235779999999991</v>
      </c>
      <c r="AK47" s="158">
        <f t="shared" si="28"/>
        <v>11.517250000000018</v>
      </c>
      <c r="AL47" s="158">
        <f t="shared" si="28"/>
        <v>16.067939999999993</v>
      </c>
      <c r="AM47" s="158">
        <f t="shared" si="28"/>
        <v>13.672839999999994</v>
      </c>
      <c r="AN47" s="158">
        <f t="shared" si="28"/>
        <v>11.277739999999994</v>
      </c>
      <c r="AO47" s="158">
        <f t="shared" si="28"/>
        <v>12.235779999999991</v>
      </c>
      <c r="AP47" s="158">
        <f t="shared" si="28"/>
        <v>11.277739999999994</v>
      </c>
      <c r="AQ47" s="158">
        <f t="shared" si="28"/>
        <v>12.235779999999991</v>
      </c>
      <c r="AR47" s="158">
        <f t="shared" si="28"/>
        <v>14.151859999999999</v>
      </c>
      <c r="AS47" s="158">
        <f t="shared" si="28"/>
        <v>14.870390000000015</v>
      </c>
      <c r="AU47" s="714"/>
      <c r="AV47" s="10" t="s">
        <v>15</v>
      </c>
      <c r="AW47" s="158">
        <f t="shared" si="25"/>
        <v>16.044780000000017</v>
      </c>
      <c r="AX47" s="158">
        <f t="shared" si="25"/>
        <v>14.080439999999996</v>
      </c>
      <c r="AY47" s="158">
        <f t="shared" si="25"/>
        <v>13.643919999999994</v>
      </c>
      <c r="AZ47" s="158">
        <f t="shared" si="25"/>
        <v>13.862180000000023</v>
      </c>
      <c r="BA47" s="158">
        <f t="shared" si="25"/>
        <v>9.9335000000000235</v>
      </c>
      <c r="BB47" s="158">
        <f t="shared" si="25"/>
        <v>9.496980000000022</v>
      </c>
      <c r="BC47" s="158">
        <f t="shared" si="25"/>
        <v>10.588279999999997</v>
      </c>
      <c r="BD47" s="158">
        <f t="shared" si="25"/>
        <v>9.9335000000000235</v>
      </c>
      <c r="BE47" s="158"/>
      <c r="BF47" s="158"/>
      <c r="BG47" s="158"/>
      <c r="BH47" s="158"/>
      <c r="BJ47" s="714"/>
      <c r="BK47" s="10" t="s">
        <v>15</v>
      </c>
      <c r="BL47" s="158">
        <f t="shared" si="26"/>
        <v>16.895619999999994</v>
      </c>
      <c r="BM47" s="158">
        <f t="shared" si="26"/>
        <v>13.42537999999999</v>
      </c>
      <c r="BN47" s="158">
        <f t="shared" si="26"/>
        <v>12.340930000000014</v>
      </c>
      <c r="BO47" s="158">
        <f t="shared" si="26"/>
        <v>12.774710000000013</v>
      </c>
      <c r="BP47" s="158">
        <f t="shared" si="26"/>
        <v>15.811170000000004</v>
      </c>
      <c r="BQ47" s="158">
        <f t="shared" si="26"/>
        <v>19.498299999999986</v>
      </c>
      <c r="BR47" s="158">
        <f t="shared" si="26"/>
        <v>17.763179999999991</v>
      </c>
      <c r="BS47" s="158">
        <f t="shared" si="26"/>
        <v>18.847630000000009</v>
      </c>
      <c r="BT47" s="158"/>
      <c r="BU47" s="158"/>
      <c r="BV47" s="158"/>
      <c r="BW47" s="158"/>
    </row>
    <row r="48" spans="2:75" x14ac:dyDescent="0.25">
      <c r="B48" s="714"/>
      <c r="C48" s="10" t="s">
        <v>16</v>
      </c>
      <c r="D48" s="158">
        <f t="shared" si="27"/>
        <v>14.197849999999988</v>
      </c>
      <c r="E48" s="158">
        <f t="shared" si="27"/>
        <v>14.679150000000007</v>
      </c>
      <c r="F48" s="158">
        <f t="shared" si="27"/>
        <v>8.9035499999999956</v>
      </c>
      <c r="G48" s="158">
        <f t="shared" si="27"/>
        <v>10.347450000000009</v>
      </c>
      <c r="H48" s="158">
        <f t="shared" si="27"/>
        <v>10.347450000000009</v>
      </c>
      <c r="I48" s="158">
        <f t="shared" si="27"/>
        <v>9.625499999999974</v>
      </c>
      <c r="J48" s="158">
        <f t="shared" si="27"/>
        <v>10.347450000000009</v>
      </c>
      <c r="K48" s="158">
        <f t="shared" si="27"/>
        <v>9.8661500000000046</v>
      </c>
      <c r="L48" s="158">
        <f t="shared" si="27"/>
        <v>11.069399999999973</v>
      </c>
      <c r="M48" s="158">
        <f t="shared" si="27"/>
        <v>6.4970500000000015</v>
      </c>
      <c r="N48" s="158"/>
      <c r="O48" s="166"/>
      <c r="Q48" s="714"/>
      <c r="R48" s="10" t="s">
        <v>16</v>
      </c>
      <c r="S48" s="158">
        <f t="shared" si="24"/>
        <v>16.262600000000006</v>
      </c>
      <c r="T48" s="158">
        <f t="shared" si="24"/>
        <v>15.641300000000001</v>
      </c>
      <c r="U48" s="158">
        <f t="shared" si="24"/>
        <v>13.363199999999992</v>
      </c>
      <c r="V48" s="158">
        <f t="shared" si="24"/>
        <v>13.156100000000023</v>
      </c>
      <c r="W48" s="158">
        <f t="shared" si="24"/>
        <v>12.53479999999999</v>
      </c>
      <c r="X48" s="158">
        <f t="shared" si="24"/>
        <v>11.499300000000019</v>
      </c>
      <c r="Y48" s="158">
        <f t="shared" si="24"/>
        <v>11.913500000000013</v>
      </c>
      <c r="Z48" s="158">
        <f t="shared" si="24"/>
        <v>12.53479999999999</v>
      </c>
      <c r="AA48" s="158">
        <f t="shared" si="24"/>
        <v>11.913500000000013</v>
      </c>
      <c r="AB48" s="158">
        <f t="shared" si="24"/>
        <v>11.085100000000011</v>
      </c>
      <c r="AC48" s="158">
        <f t="shared" si="24"/>
        <v>14.191599999999994</v>
      </c>
      <c r="AD48" s="158">
        <f t="shared" si="24"/>
        <v>13.7774</v>
      </c>
      <c r="AF48" s="714"/>
      <c r="AG48" s="10" t="s">
        <v>16</v>
      </c>
      <c r="AH48" s="158">
        <f t="shared" si="28"/>
        <v>10.319699999999983</v>
      </c>
      <c r="AI48" s="158">
        <f t="shared" si="28"/>
        <v>10.559210000000022</v>
      </c>
      <c r="AJ48" s="158">
        <f t="shared" si="28"/>
        <v>9.1221500000000049</v>
      </c>
      <c r="AK48" s="158">
        <f t="shared" si="28"/>
        <v>8.4036199999999894</v>
      </c>
      <c r="AL48" s="158">
        <f t="shared" si="28"/>
        <v>9.1221500000000049</v>
      </c>
      <c r="AM48" s="158">
        <f t="shared" si="28"/>
        <v>9.6011700000000104</v>
      </c>
      <c r="AN48" s="158">
        <f t="shared" si="28"/>
        <v>5.5294999999999845</v>
      </c>
      <c r="AO48" s="158">
        <f t="shared" si="28"/>
        <v>5.7690100000000086</v>
      </c>
      <c r="AP48" s="158">
        <f t="shared" si="28"/>
        <v>10.319699999999983</v>
      </c>
      <c r="AQ48" s="158">
        <f t="shared" si="28"/>
        <v>9.8406799999999919</v>
      </c>
      <c r="AR48" s="158">
        <f t="shared" si="28"/>
        <v>9.6011700000000104</v>
      </c>
      <c r="AS48" s="158">
        <f t="shared" si="28"/>
        <v>10.080190000000016</v>
      </c>
      <c r="AU48" s="714"/>
      <c r="AV48" s="10" t="s">
        <v>16</v>
      </c>
      <c r="AW48" s="158">
        <f t="shared" si="25"/>
        <v>16.91782000000002</v>
      </c>
      <c r="AX48" s="158">
        <f t="shared" si="25"/>
        <v>21.064759999999993</v>
      </c>
      <c r="AY48" s="158">
        <f t="shared" si="25"/>
        <v>15.826520000000016</v>
      </c>
      <c r="AZ48" s="158">
        <f t="shared" si="25"/>
        <v>16.044780000000017</v>
      </c>
      <c r="BA48" s="158">
        <f t="shared" si="25"/>
        <v>10.151759999999996</v>
      </c>
      <c r="BB48" s="158">
        <f t="shared" si="25"/>
        <v>10.588279999999997</v>
      </c>
      <c r="BC48" s="158">
        <f t="shared" si="25"/>
        <v>11.243060000000028</v>
      </c>
      <c r="BD48" s="158">
        <f t="shared" si="25"/>
        <v>11.243060000000028</v>
      </c>
      <c r="BE48" s="158"/>
      <c r="BF48" s="158"/>
      <c r="BG48" s="158"/>
      <c r="BH48" s="158"/>
      <c r="BJ48" s="714"/>
      <c r="BK48" s="10" t="s">
        <v>16</v>
      </c>
      <c r="BL48" s="158">
        <f t="shared" si="26"/>
        <v>14.076050000000009</v>
      </c>
      <c r="BM48" s="158">
        <f t="shared" si="26"/>
        <v>15.377390000000005</v>
      </c>
      <c r="BN48" s="158">
        <f t="shared" si="26"/>
        <v>14.943610000000007</v>
      </c>
      <c r="BO48" s="158">
        <f t="shared" si="26"/>
        <v>14.943610000000007</v>
      </c>
      <c r="BP48" s="158">
        <f t="shared" si="26"/>
        <v>17.329399999999993</v>
      </c>
      <c r="BQ48" s="158">
        <f t="shared" si="26"/>
        <v>17.329399999999993</v>
      </c>
      <c r="BR48" s="158">
        <f t="shared" si="26"/>
        <v>18.19695999999999</v>
      </c>
      <c r="BS48" s="158">
        <f t="shared" si="26"/>
        <v>17.329399999999993</v>
      </c>
      <c r="BT48" s="158"/>
      <c r="BU48" s="158"/>
      <c r="BV48" s="158"/>
      <c r="BW48" s="158"/>
    </row>
    <row r="49" spans="2:75" x14ac:dyDescent="0.25">
      <c r="B49" s="714"/>
      <c r="C49" s="10" t="s">
        <v>17</v>
      </c>
      <c r="D49" s="158">
        <f t="shared" si="27"/>
        <v>12.753950000000003</v>
      </c>
      <c r="E49" s="158">
        <f t="shared" si="27"/>
        <v>13.475899999999982</v>
      </c>
      <c r="F49" s="158">
        <f t="shared" si="27"/>
        <v>8.9035499999999956</v>
      </c>
      <c r="G49" s="158">
        <f t="shared" si="27"/>
        <v>8.6628999999999792</v>
      </c>
      <c r="H49" s="158">
        <f t="shared" si="27"/>
        <v>9.8661500000000046</v>
      </c>
      <c r="I49" s="158">
        <f t="shared" si="27"/>
        <v>11.310050000000004</v>
      </c>
      <c r="J49" s="158">
        <f t="shared" si="27"/>
        <v>10.347450000000009</v>
      </c>
      <c r="K49" s="158">
        <f t="shared" si="27"/>
        <v>10.106799999999978</v>
      </c>
      <c r="L49" s="158">
        <f t="shared" si="27"/>
        <v>9.625499999999974</v>
      </c>
      <c r="M49" s="158">
        <f t="shared" si="27"/>
        <v>10.828749999999999</v>
      </c>
      <c r="N49" s="158"/>
      <c r="O49" s="166"/>
      <c r="Q49" s="714"/>
      <c r="R49" s="10" t="s">
        <v>17</v>
      </c>
      <c r="S49" s="158">
        <f t="shared" si="24"/>
        <v>12.948999999999998</v>
      </c>
      <c r="T49" s="158">
        <f t="shared" si="24"/>
        <v>14.398700000000019</v>
      </c>
      <c r="U49" s="158">
        <f t="shared" si="24"/>
        <v>12.741900000000015</v>
      </c>
      <c r="V49" s="158">
        <f t="shared" si="24"/>
        <v>14.191599999999994</v>
      </c>
      <c r="W49" s="158">
        <f t="shared" si="24"/>
        <v>8.8069999999999879</v>
      </c>
      <c r="X49" s="158">
        <f t="shared" si="24"/>
        <v>8.1857000000000113</v>
      </c>
      <c r="Y49" s="158">
        <f t="shared" si="24"/>
        <v>8.8069999999999879</v>
      </c>
      <c r="Z49" s="158">
        <f t="shared" si="24"/>
        <v>10.049599999999998</v>
      </c>
      <c r="AA49" s="158">
        <f t="shared" si="24"/>
        <v>11.085100000000011</v>
      </c>
      <c r="AB49" s="158">
        <f t="shared" si="24"/>
        <v>12.327700000000021</v>
      </c>
      <c r="AC49" s="158">
        <f t="shared" si="24"/>
        <v>16.262600000000006</v>
      </c>
      <c r="AD49" s="158">
        <f t="shared" si="24"/>
        <v>15.434200000000004</v>
      </c>
      <c r="AF49" s="714"/>
      <c r="AG49" s="10" t="s">
        <v>17</v>
      </c>
      <c r="AH49" s="158">
        <f t="shared" si="28"/>
        <v>9.6011700000000104</v>
      </c>
      <c r="AI49" s="158">
        <f t="shared" si="28"/>
        <v>10.080190000000016</v>
      </c>
      <c r="AJ49" s="158">
        <f t="shared" si="28"/>
        <v>11.996270000000024</v>
      </c>
      <c r="AK49" s="158">
        <f t="shared" si="28"/>
        <v>8.1641100000000222</v>
      </c>
      <c r="AL49" s="158">
        <f t="shared" si="28"/>
        <v>10.319699999999983</v>
      </c>
      <c r="AM49" s="158">
        <f t="shared" si="28"/>
        <v>10.559210000000022</v>
      </c>
      <c r="AN49" s="158">
        <f t="shared" si="28"/>
        <v>8.4036199999999894</v>
      </c>
      <c r="AO49" s="158">
        <f t="shared" si="28"/>
        <v>10.080190000000016</v>
      </c>
      <c r="AP49" s="158">
        <f t="shared" si="28"/>
        <v>5.5294999999999845</v>
      </c>
      <c r="AQ49" s="158">
        <f t="shared" si="28"/>
        <v>13.193819999999988</v>
      </c>
      <c r="AR49" s="158">
        <f t="shared" si="28"/>
        <v>11.038230000000013</v>
      </c>
      <c r="AS49" s="158">
        <f t="shared" si="28"/>
        <v>9.3616599999999863</v>
      </c>
      <c r="AU49" s="714"/>
      <c r="AV49" s="10" t="s">
        <v>17</v>
      </c>
      <c r="AW49" s="158"/>
      <c r="AX49" s="158"/>
      <c r="AY49" s="158">
        <f t="shared" si="25"/>
        <v>12.770880000000005</v>
      </c>
      <c r="AZ49" s="158">
        <f t="shared" si="25"/>
        <v>12.334360000000004</v>
      </c>
      <c r="BA49" s="158">
        <f t="shared" si="25"/>
        <v>8.8421999999999912</v>
      </c>
      <c r="BB49" s="158">
        <f t="shared" si="25"/>
        <v>8.1874200000000172</v>
      </c>
      <c r="BC49" s="158">
        <f t="shared" si="25"/>
        <v>8.8421999999999912</v>
      </c>
      <c r="BD49" s="158">
        <f t="shared" si="25"/>
        <v>9.496980000000022</v>
      </c>
      <c r="BE49" s="158"/>
      <c r="BF49" s="158"/>
      <c r="BG49" s="158"/>
      <c r="BH49" s="158"/>
      <c r="BJ49" s="714"/>
      <c r="BK49" s="10" t="s">
        <v>17</v>
      </c>
      <c r="BL49" s="158">
        <f t="shared" si="26"/>
        <v>14.076050000000009</v>
      </c>
      <c r="BM49" s="158">
        <f t="shared" si="26"/>
        <v>12.124039999999979</v>
      </c>
      <c r="BN49" s="158">
        <f t="shared" si="26"/>
        <v>13.859159999999989</v>
      </c>
      <c r="BO49" s="158">
        <f t="shared" si="26"/>
        <v>13.642270000000011</v>
      </c>
      <c r="BP49" s="158">
        <f t="shared" si="26"/>
        <v>17.329399999999993</v>
      </c>
      <c r="BQ49" s="158">
        <f t="shared" si="26"/>
        <v>16.028059999999982</v>
      </c>
      <c r="BR49" s="158">
        <f t="shared" si="26"/>
        <v>15.594279999999983</v>
      </c>
      <c r="BS49" s="158">
        <f t="shared" si="26"/>
        <v>16.028059999999982</v>
      </c>
      <c r="BT49" s="158"/>
      <c r="BU49" s="158"/>
      <c r="BV49" s="158"/>
      <c r="BW49" s="158"/>
    </row>
    <row r="50" spans="2:75" x14ac:dyDescent="0.25">
      <c r="B50" s="714"/>
      <c r="C50" s="10" t="s">
        <v>18</v>
      </c>
      <c r="D50" s="158">
        <f t="shared" si="27"/>
        <v>13.716550000000012</v>
      </c>
      <c r="E50" s="158">
        <f t="shared" si="27"/>
        <v>11.791350000000008</v>
      </c>
      <c r="F50" s="158">
        <f t="shared" si="27"/>
        <v>13.475899999999982</v>
      </c>
      <c r="G50" s="158">
        <f t="shared" si="27"/>
        <v>12.513299999999987</v>
      </c>
      <c r="H50" s="158">
        <f t="shared" si="27"/>
        <v>13.475899999999982</v>
      </c>
      <c r="I50" s="158">
        <f t="shared" si="27"/>
        <v>13.716550000000012</v>
      </c>
      <c r="J50" s="158">
        <f t="shared" si="27"/>
        <v>10.588099999999983</v>
      </c>
      <c r="K50" s="158">
        <f t="shared" si="27"/>
        <v>10.588099999999983</v>
      </c>
      <c r="L50" s="158">
        <f t="shared" si="27"/>
        <v>10.588099999999983</v>
      </c>
      <c r="M50" s="158">
        <f t="shared" si="27"/>
        <v>10.347450000000009</v>
      </c>
      <c r="N50" s="158"/>
      <c r="O50" s="166"/>
      <c r="Q50" s="714"/>
      <c r="R50" s="10" t="s">
        <v>18</v>
      </c>
      <c r="S50" s="158">
        <f t="shared" si="24"/>
        <v>14.191599999999994</v>
      </c>
      <c r="T50" s="158">
        <f t="shared" si="24"/>
        <v>14.605800000000002</v>
      </c>
      <c r="U50" s="158">
        <f t="shared" si="24"/>
        <v>12.327700000000021</v>
      </c>
      <c r="V50" s="158">
        <f t="shared" si="24"/>
        <v>11.085100000000011</v>
      </c>
      <c r="W50" s="158">
        <f t="shared" si="24"/>
        <v>9.2211999999999961</v>
      </c>
      <c r="X50" s="158">
        <f t="shared" si="24"/>
        <v>10.256700000000009</v>
      </c>
      <c r="Y50" s="158">
        <f t="shared" si="24"/>
        <v>10.049599999999998</v>
      </c>
      <c r="Z50" s="158">
        <f t="shared" si="24"/>
        <v>11.913500000000013</v>
      </c>
      <c r="AA50" s="158">
        <f t="shared" si="24"/>
        <v>10.256700000000009</v>
      </c>
      <c r="AB50" s="158">
        <f t="shared" si="24"/>
        <v>11.292199999999994</v>
      </c>
      <c r="AC50" s="158">
        <f t="shared" si="24"/>
        <v>13.7774</v>
      </c>
      <c r="AD50" s="158">
        <f t="shared" si="24"/>
        <v>13.984500000000011</v>
      </c>
      <c r="AF50" s="714"/>
      <c r="AG50" s="10" t="s">
        <v>18</v>
      </c>
      <c r="AH50" s="158">
        <f t="shared" si="28"/>
        <v>18.223529999999982</v>
      </c>
      <c r="AI50" s="158">
        <f t="shared" si="28"/>
        <v>19.900099999999981</v>
      </c>
      <c r="AJ50" s="158">
        <f t="shared" si="28"/>
        <v>43.372079999999997</v>
      </c>
      <c r="AK50" s="158">
        <f t="shared" si="28"/>
        <v>11.756759999999986</v>
      </c>
      <c r="AL50" s="158">
        <f t="shared" si="28"/>
        <v>12.235779999999991</v>
      </c>
      <c r="AM50" s="158">
        <f t="shared" si="28"/>
        <v>11.756759999999986</v>
      </c>
      <c r="AN50" s="158">
        <f t="shared" si="28"/>
        <v>10.319699999999983</v>
      </c>
      <c r="AO50" s="158">
        <f t="shared" si="28"/>
        <v>9.8406799999999919</v>
      </c>
      <c r="AP50" s="158">
        <f t="shared" si="28"/>
        <v>8.6431300000000135</v>
      </c>
      <c r="AQ50" s="158">
        <f t="shared" si="28"/>
        <v>9.6011700000000104</v>
      </c>
      <c r="AR50" s="158">
        <f t="shared" si="28"/>
        <v>12.954310000000021</v>
      </c>
      <c r="AS50" s="158">
        <f t="shared" si="28"/>
        <v>12.714799999999997</v>
      </c>
      <c r="AU50" s="714"/>
      <c r="AV50" s="10" t="s">
        <v>18</v>
      </c>
      <c r="AW50" s="158"/>
      <c r="AX50" s="158"/>
      <c r="AY50" s="158">
        <f t="shared" si="25"/>
        <v>12.770880000000005</v>
      </c>
      <c r="AZ50" s="158">
        <f t="shared" si="25"/>
        <v>15.171740000000028</v>
      </c>
      <c r="BA50" s="158">
        <f t="shared" si="25"/>
        <v>11.024799999999999</v>
      </c>
      <c r="BB50" s="158">
        <f t="shared" si="25"/>
        <v>9.2787199999999928</v>
      </c>
      <c r="BC50" s="158">
        <f t="shared" si="25"/>
        <v>10.588279999999997</v>
      </c>
      <c r="BD50" s="158">
        <f t="shared" si="25"/>
        <v>9.2787199999999928</v>
      </c>
      <c r="BE50" s="158"/>
      <c r="BF50" s="158"/>
      <c r="BG50" s="158"/>
      <c r="BH50" s="158"/>
      <c r="BJ50" s="714"/>
      <c r="BK50" s="10" t="s">
        <v>18</v>
      </c>
      <c r="BL50" s="158">
        <f t="shared" si="26"/>
        <v>19.932079999999985</v>
      </c>
      <c r="BM50" s="158">
        <f t="shared" si="26"/>
        <v>13.208490000000012</v>
      </c>
      <c r="BN50" s="158">
        <f t="shared" si="26"/>
        <v>13.208490000000012</v>
      </c>
      <c r="BO50" s="158">
        <f t="shared" si="26"/>
        <v>12.991599999999991</v>
      </c>
      <c r="BP50" s="158">
        <f t="shared" si="26"/>
        <v>16.028059999999982</v>
      </c>
      <c r="BQ50" s="158">
        <f t="shared" si="26"/>
        <v>15.811170000000004</v>
      </c>
      <c r="BR50" s="158">
        <f t="shared" si="26"/>
        <v>17.329399999999993</v>
      </c>
      <c r="BS50" s="158">
        <f t="shared" si="26"/>
        <v>19.281410000000008</v>
      </c>
      <c r="BT50" s="158"/>
      <c r="BU50" s="158"/>
      <c r="BV50" s="158"/>
      <c r="BW50" s="158"/>
    </row>
    <row r="51" spans="2:75" x14ac:dyDescent="0.25">
      <c r="B51" s="714"/>
      <c r="C51" s="10" t="s">
        <v>19</v>
      </c>
      <c r="D51" s="158"/>
      <c r="E51" s="158"/>
      <c r="F51" s="158">
        <f t="shared" si="27"/>
        <v>8.4222499999999911</v>
      </c>
      <c r="G51" s="158">
        <f t="shared" si="27"/>
        <v>9.3848500000000001</v>
      </c>
      <c r="H51" s="158">
        <f t="shared" si="27"/>
        <v>10.588099999999983</v>
      </c>
      <c r="I51" s="158">
        <f t="shared" si="27"/>
        <v>10.588099999999983</v>
      </c>
      <c r="J51" s="158">
        <f t="shared" si="27"/>
        <v>11.069399999999973</v>
      </c>
      <c r="K51" s="158">
        <f t="shared" si="27"/>
        <v>12.994599999999977</v>
      </c>
      <c r="L51" s="158">
        <f t="shared" si="27"/>
        <v>12.513299999999987</v>
      </c>
      <c r="M51" s="158">
        <f t="shared" si="27"/>
        <v>13.475899999999982</v>
      </c>
      <c r="N51" s="158"/>
      <c r="O51" s="166"/>
      <c r="Q51" s="714"/>
      <c r="R51" s="10" t="s">
        <v>19</v>
      </c>
      <c r="S51" s="158">
        <f t="shared" si="24"/>
        <v>16.262600000000006</v>
      </c>
      <c r="T51" s="158">
        <f t="shared" si="24"/>
        <v>15.02000000000001</v>
      </c>
      <c r="U51" s="158">
        <f t="shared" si="24"/>
        <v>15.02000000000001</v>
      </c>
      <c r="V51" s="158">
        <f t="shared" si="24"/>
        <v>15.848400000000012</v>
      </c>
      <c r="W51" s="158"/>
      <c r="X51" s="158"/>
      <c r="Y51" s="158">
        <f t="shared" si="24"/>
        <v>9.2211999999999961</v>
      </c>
      <c r="Z51" s="158">
        <f t="shared" si="24"/>
        <v>10.049599999999998</v>
      </c>
      <c r="AA51" s="158">
        <f t="shared" si="24"/>
        <v>15.434200000000004</v>
      </c>
      <c r="AB51" s="158">
        <f t="shared" si="24"/>
        <v>14.605800000000002</v>
      </c>
      <c r="AC51" s="158">
        <f t="shared" si="24"/>
        <v>13.156100000000023</v>
      </c>
      <c r="AD51" s="158">
        <f t="shared" si="24"/>
        <v>13.7774</v>
      </c>
      <c r="AF51" s="714"/>
      <c r="AG51" s="10" t="s">
        <v>19</v>
      </c>
      <c r="AH51" s="158">
        <f t="shared" si="28"/>
        <v>14.151859999999999</v>
      </c>
      <c r="AI51" s="158">
        <f t="shared" si="28"/>
        <v>16.546959999999999</v>
      </c>
      <c r="AJ51" s="158">
        <f t="shared" si="28"/>
        <v>14.630879999999991</v>
      </c>
      <c r="AK51" s="158">
        <f t="shared" si="28"/>
        <v>9.1221500000000049</v>
      </c>
      <c r="AL51" s="158">
        <f t="shared" si="28"/>
        <v>12.714799999999997</v>
      </c>
      <c r="AM51" s="158">
        <f t="shared" si="28"/>
        <v>13.672839999999994</v>
      </c>
      <c r="AN51" s="158">
        <f t="shared" si="28"/>
        <v>11.277739999999994</v>
      </c>
      <c r="AO51" s="158">
        <f t="shared" si="28"/>
        <v>12.714799999999997</v>
      </c>
      <c r="AP51" s="158">
        <f t="shared" si="28"/>
        <v>8.8826399999999808</v>
      </c>
      <c r="AQ51" s="158">
        <f t="shared" si="28"/>
        <v>10.080190000000016</v>
      </c>
      <c r="AR51" s="158"/>
      <c r="AS51" s="158"/>
      <c r="AU51" s="714"/>
      <c r="AV51" s="10" t="s">
        <v>19</v>
      </c>
      <c r="AW51" s="158"/>
      <c r="AX51" s="158"/>
      <c r="AY51" s="158">
        <f t="shared" si="25"/>
        <v>12.552620000000019</v>
      </c>
      <c r="AZ51" s="158">
        <f t="shared" si="25"/>
        <v>11.243060000000028</v>
      </c>
      <c r="BA51" s="158">
        <f t="shared" si="25"/>
        <v>10.588279999999997</v>
      </c>
      <c r="BB51" s="158">
        <f t="shared" si="25"/>
        <v>9.7152399999999943</v>
      </c>
      <c r="BC51" s="158"/>
      <c r="BD51" s="158"/>
      <c r="BE51" s="158"/>
      <c r="BF51" s="158"/>
      <c r="BG51" s="158"/>
      <c r="BH51" s="158"/>
      <c r="BJ51" s="714"/>
      <c r="BK51" s="10" t="s">
        <v>19</v>
      </c>
      <c r="BL51" s="158"/>
      <c r="BM51" s="158"/>
      <c r="BN51" s="158">
        <f t="shared" si="26"/>
        <v>12.124039999999979</v>
      </c>
      <c r="BO51" s="158">
        <f t="shared" si="26"/>
        <v>12.124039999999979</v>
      </c>
      <c r="BP51" s="158"/>
      <c r="BQ51" s="158"/>
      <c r="BR51" s="158"/>
      <c r="BS51" s="158"/>
      <c r="BT51" s="158"/>
      <c r="BU51" s="158"/>
      <c r="BV51" s="158"/>
      <c r="BW51" s="158"/>
    </row>
    <row r="52" spans="2:75" ht="15.75" thickBot="1" x14ac:dyDescent="0.3">
      <c r="B52" s="715"/>
      <c r="C52" s="22" t="s">
        <v>20</v>
      </c>
      <c r="D52" s="167"/>
      <c r="E52" s="167"/>
      <c r="F52" s="167"/>
      <c r="G52" s="167"/>
      <c r="H52" s="167">
        <f t="shared" si="27"/>
        <v>14.679150000000007</v>
      </c>
      <c r="I52" s="167">
        <f t="shared" si="27"/>
        <v>12.031999999999982</v>
      </c>
      <c r="J52" s="167">
        <f t="shared" si="27"/>
        <v>14.919799999999981</v>
      </c>
      <c r="K52" s="167">
        <f t="shared" si="27"/>
        <v>14.919799999999981</v>
      </c>
      <c r="L52" s="167">
        <f t="shared" si="27"/>
        <v>13.716550000000012</v>
      </c>
      <c r="M52" s="167">
        <f t="shared" si="27"/>
        <v>12.272650000000013</v>
      </c>
      <c r="N52" s="167"/>
      <c r="O52" s="168"/>
      <c r="Q52" s="715"/>
      <c r="R52" s="22" t="s">
        <v>20</v>
      </c>
      <c r="S52" s="158">
        <f t="shared" si="24"/>
        <v>16.262600000000006</v>
      </c>
      <c r="T52" s="158">
        <f t="shared" si="24"/>
        <v>14.191599999999994</v>
      </c>
      <c r="U52" s="158">
        <f t="shared" si="24"/>
        <v>13.984500000000011</v>
      </c>
      <c r="V52" s="158">
        <f t="shared" si="24"/>
        <v>13.156100000000023</v>
      </c>
      <c r="W52" s="158"/>
      <c r="X52" s="158"/>
      <c r="Y52" s="158">
        <f t="shared" si="24"/>
        <v>11.913500000000013</v>
      </c>
      <c r="Z52" s="158">
        <f t="shared" si="24"/>
        <v>11.085100000000011</v>
      </c>
      <c r="AA52" s="158">
        <f t="shared" si="24"/>
        <v>13.7774</v>
      </c>
      <c r="AB52" s="158">
        <f t="shared" si="24"/>
        <v>13.363199999999992</v>
      </c>
      <c r="AC52" s="158"/>
      <c r="AD52" s="158"/>
      <c r="AF52" s="715"/>
      <c r="AG52" s="22" t="s">
        <v>20</v>
      </c>
      <c r="AH52" s="158"/>
      <c r="AI52" s="158"/>
      <c r="AJ52" s="158"/>
      <c r="AK52" s="158"/>
      <c r="AL52" s="158"/>
      <c r="AM52" s="158"/>
      <c r="AN52" s="158">
        <f t="shared" si="28"/>
        <v>15.109899999999996</v>
      </c>
      <c r="AO52" s="158">
        <f t="shared" si="28"/>
        <v>11.277739999999994</v>
      </c>
      <c r="AP52" s="158">
        <f t="shared" si="28"/>
        <v>21.337159999999983</v>
      </c>
      <c r="AQ52" s="158">
        <f t="shared" si="28"/>
        <v>11.277739999999994</v>
      </c>
      <c r="AR52" s="158"/>
      <c r="AS52" s="158"/>
      <c r="AU52" s="715"/>
      <c r="AV52" s="22" t="s">
        <v>20</v>
      </c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J52" s="715"/>
      <c r="BK52" s="22" t="s">
        <v>20</v>
      </c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</row>
    <row r="53" spans="2:75" ht="20.25" customHeight="1" x14ac:dyDescent="0.25">
      <c r="B53" s="689" t="s">
        <v>101</v>
      </c>
      <c r="C53" s="169" t="s">
        <v>8</v>
      </c>
      <c r="D53" s="170" t="s">
        <v>10</v>
      </c>
      <c r="E53" s="170" t="s">
        <v>56</v>
      </c>
      <c r="F53" s="216" t="s">
        <v>100</v>
      </c>
      <c r="G53" s="140" t="s">
        <v>2</v>
      </c>
      <c r="H53" s="135" t="s">
        <v>130</v>
      </c>
      <c r="Q53" s="689" t="s">
        <v>101</v>
      </c>
      <c r="R53" s="234" t="s">
        <v>8</v>
      </c>
      <c r="S53" s="153" t="s">
        <v>10</v>
      </c>
      <c r="T53" s="153" t="s">
        <v>56</v>
      </c>
      <c r="U53" s="153" t="s">
        <v>100</v>
      </c>
      <c r="V53" s="141" t="s">
        <v>2</v>
      </c>
      <c r="AF53" s="647" t="s">
        <v>101</v>
      </c>
      <c r="AG53" s="169" t="s">
        <v>8</v>
      </c>
      <c r="AH53" s="170" t="s">
        <v>10</v>
      </c>
      <c r="AI53" s="170" t="s">
        <v>56</v>
      </c>
      <c r="AJ53" s="216" t="s">
        <v>100</v>
      </c>
      <c r="AK53" s="140" t="s">
        <v>2</v>
      </c>
      <c r="AU53" s="644" t="s">
        <v>101</v>
      </c>
      <c r="AV53" s="418" t="s">
        <v>8</v>
      </c>
      <c r="AW53" s="413" t="s">
        <v>10</v>
      </c>
      <c r="AX53" s="413" t="s">
        <v>56</v>
      </c>
      <c r="AY53" s="413" t="s">
        <v>100</v>
      </c>
      <c r="AZ53" s="411" t="s">
        <v>2</v>
      </c>
      <c r="BJ53" s="627" t="s">
        <v>101</v>
      </c>
      <c r="BK53" s="622" t="s">
        <v>8</v>
      </c>
      <c r="BL53" s="413" t="s">
        <v>10</v>
      </c>
      <c r="BM53" s="216" t="s">
        <v>56</v>
      </c>
      <c r="BN53" s="153" t="s">
        <v>100</v>
      </c>
      <c r="BO53" s="141" t="s">
        <v>2</v>
      </c>
    </row>
    <row r="54" spans="2:75" x14ac:dyDescent="0.25">
      <c r="B54" s="690"/>
      <c r="C54" s="772" t="s">
        <v>24</v>
      </c>
      <c r="D54" s="680" t="s">
        <v>92</v>
      </c>
      <c r="E54" s="143" t="s">
        <v>46</v>
      </c>
      <c r="F54">
        <f>((AVERAGE(D47:E47))*(0.2*1000))/10</f>
        <v>252.6724999999999</v>
      </c>
      <c r="G54" s="769">
        <f>AVERAGE(F54:F57)</f>
        <v>264.70499999999998</v>
      </c>
      <c r="H54">
        <f>STDEV(F54:F57)</f>
        <v>16.556533448561378</v>
      </c>
      <c r="Q54" s="690"/>
      <c r="R54" s="628" t="s">
        <v>31</v>
      </c>
      <c r="S54" s="657" t="s">
        <v>142</v>
      </c>
      <c r="T54" s="287" t="s">
        <v>46</v>
      </c>
      <c r="U54" s="163">
        <f t="shared" ref="U54:U59" si="29">(AVERAGE(S47:T47))*20</f>
        <v>323.18100000000015</v>
      </c>
      <c r="V54" s="676">
        <f>AVERAGE(U54:U59)</f>
        <v>303.50650000000002</v>
      </c>
      <c r="AF54" s="648"/>
      <c r="AG54" s="754" t="s">
        <v>151</v>
      </c>
      <c r="AH54" s="680" t="s">
        <v>94</v>
      </c>
      <c r="AI54" s="163" t="s">
        <v>117</v>
      </c>
      <c r="AJ54" s="163">
        <f>(AVERAGE(AH47:AI47))*20</f>
        <v>398.00200000000018</v>
      </c>
      <c r="AK54" s="748">
        <f>AVERAGE(AJ54:AJ63)</f>
        <v>289.50397000000004</v>
      </c>
      <c r="AU54" s="645"/>
      <c r="AV54" s="746" t="s">
        <v>210</v>
      </c>
      <c r="AW54" s="666" t="s">
        <v>214</v>
      </c>
      <c r="AX54" s="79" t="s">
        <v>46</v>
      </c>
      <c r="AY54" s="79">
        <f>AVERAGE(AW47:AX47)*20</f>
        <v>301.25220000000013</v>
      </c>
      <c r="AZ54" s="748">
        <f>AVERAGE(AY54:AY55)</f>
        <v>340.5390000000001</v>
      </c>
      <c r="BJ54" s="628"/>
      <c r="BK54" s="738" t="s">
        <v>710</v>
      </c>
      <c r="BL54" s="680" t="s">
        <v>94</v>
      </c>
      <c r="BM54" s="132" t="s">
        <v>46</v>
      </c>
      <c r="BN54" s="132">
        <f>AVERAGE(BL47:BM47)*20</f>
        <v>303.20999999999981</v>
      </c>
      <c r="BO54" s="748">
        <f>AVERAGE(BN54:BN57)</f>
        <v>297.78774999999996</v>
      </c>
    </row>
    <row r="55" spans="2:75" x14ac:dyDescent="0.25">
      <c r="B55" s="690"/>
      <c r="C55" s="773"/>
      <c r="D55" s="657"/>
      <c r="E55" s="122" t="s">
        <v>44</v>
      </c>
      <c r="F55">
        <f>((AVERAGE(D48:E48))*(0.2*1000))/10</f>
        <v>288.76999999999992</v>
      </c>
      <c r="G55" s="770"/>
      <c r="H55">
        <f>G54+2*H54</f>
        <v>297.81806689712272</v>
      </c>
      <c r="Q55" s="690"/>
      <c r="R55" s="628"/>
      <c r="S55" s="657"/>
      <c r="T55" s="287" t="s">
        <v>44</v>
      </c>
      <c r="U55" s="79">
        <f t="shared" si="29"/>
        <v>319.0390000000001</v>
      </c>
      <c r="V55" s="672"/>
      <c r="Y55">
        <v>20</v>
      </c>
      <c r="AF55" s="648"/>
      <c r="AG55" s="755"/>
      <c r="AH55" s="657"/>
      <c r="AI55" s="79" t="s">
        <v>118</v>
      </c>
      <c r="AJ55" s="79">
        <f>(AVERAGE(AH48:AI48))*20</f>
        <v>208.78910000000005</v>
      </c>
      <c r="AK55" s="743"/>
      <c r="AU55" s="645"/>
      <c r="AV55" s="746"/>
      <c r="AW55" s="745"/>
      <c r="AX55" s="138" t="s">
        <v>44</v>
      </c>
      <c r="AY55" s="139">
        <f>AVERAGE(AW48:AX48)*20</f>
        <v>379.82580000000013</v>
      </c>
      <c r="AZ55" s="744"/>
      <c r="BJ55" s="628"/>
      <c r="BK55" s="739"/>
      <c r="BL55" s="657"/>
      <c r="BM55" s="132" t="s">
        <v>44</v>
      </c>
      <c r="BN55" s="132">
        <f t="shared" ref="BN55:BN57" si="30">AVERAGE(BL48:BM48)*20</f>
        <v>294.53440000000012</v>
      </c>
      <c r="BO55" s="743"/>
    </row>
    <row r="56" spans="2:75" x14ac:dyDescent="0.25">
      <c r="B56" s="690"/>
      <c r="C56" s="773"/>
      <c r="D56" s="657"/>
      <c r="E56" s="122" t="s">
        <v>45</v>
      </c>
      <c r="F56">
        <f>((AVERAGE(D49:E49))*(0.2*1000))/10</f>
        <v>262.29849999999982</v>
      </c>
      <c r="G56" s="770"/>
      <c r="H56">
        <f>G54-2*H54</f>
        <v>231.59193310287722</v>
      </c>
      <c r="Q56" s="690"/>
      <c r="R56" s="628"/>
      <c r="S56" s="657"/>
      <c r="T56" s="287" t="s">
        <v>45</v>
      </c>
      <c r="U56" s="79">
        <f t="shared" si="29"/>
        <v>273.4770000000002</v>
      </c>
      <c r="V56" s="672"/>
      <c r="AF56" s="648"/>
      <c r="AG56" s="755"/>
      <c r="AH56" s="657"/>
      <c r="AI56" s="79" t="s">
        <v>119</v>
      </c>
      <c r="AJ56" s="79">
        <f>(AVERAGE(AH49:AI49))*20</f>
        <v>196.81360000000026</v>
      </c>
      <c r="AK56" s="743"/>
      <c r="AU56" s="645"/>
      <c r="AV56" s="746"/>
      <c r="AW56" s="666" t="s">
        <v>215</v>
      </c>
      <c r="AX56" s="79" t="s">
        <v>117</v>
      </c>
      <c r="AY56" s="79">
        <f>AVERAGE(AY47:AZ47)*20</f>
        <v>275.06100000000015</v>
      </c>
      <c r="AZ56" s="731">
        <f>AVERAGE(AY56:AY60)</f>
        <v>272.44188000000025</v>
      </c>
      <c r="BJ56" s="628"/>
      <c r="BK56" s="739"/>
      <c r="BL56" s="657"/>
      <c r="BM56" s="132" t="s">
        <v>45</v>
      </c>
      <c r="BN56" s="132">
        <f t="shared" si="30"/>
        <v>262.00089999999989</v>
      </c>
      <c r="BO56" s="743"/>
    </row>
    <row r="57" spans="2:75" x14ac:dyDescent="0.25">
      <c r="B57" s="690"/>
      <c r="C57" s="774"/>
      <c r="D57" s="658"/>
      <c r="E57" s="139" t="s">
        <v>47</v>
      </c>
      <c r="F57" s="139">
        <f>((AVERAGE(D50:E50))*(0.2*1000))/10</f>
        <v>255.07900000000024</v>
      </c>
      <c r="G57" s="771"/>
      <c r="Q57" s="690"/>
      <c r="R57" s="628"/>
      <c r="S57" s="657"/>
      <c r="T57" s="287" t="s">
        <v>47</v>
      </c>
      <c r="U57" s="79">
        <f t="shared" si="29"/>
        <v>287.97399999999993</v>
      </c>
      <c r="V57" s="672"/>
      <c r="AF57" s="648"/>
      <c r="AG57" s="755"/>
      <c r="AH57" s="657"/>
      <c r="AI57" s="79" t="s">
        <v>120</v>
      </c>
      <c r="AJ57" s="79">
        <f>(AVERAGE(AH50:AI50))*20</f>
        <v>381.23629999999963</v>
      </c>
      <c r="AK57" s="743"/>
      <c r="AU57" s="645"/>
      <c r="AV57" s="746"/>
      <c r="AW57" s="666"/>
      <c r="AX57" s="79" t="s">
        <v>118</v>
      </c>
      <c r="AY57" s="414">
        <f>AVERAGE(AY48:AZ48)*20</f>
        <v>318.71300000000031</v>
      </c>
      <c r="AZ57" s="732"/>
      <c r="BJ57" s="628"/>
      <c r="BK57" s="739"/>
      <c r="BL57" s="658"/>
      <c r="BM57" s="134" t="s">
        <v>47</v>
      </c>
      <c r="BN57" s="139">
        <f t="shared" si="30"/>
        <v>331.40569999999997</v>
      </c>
      <c r="BO57" s="744"/>
    </row>
    <row r="58" spans="2:75" x14ac:dyDescent="0.25">
      <c r="B58" s="690"/>
      <c r="C58" s="772" t="s">
        <v>28</v>
      </c>
      <c r="D58" s="680" t="s">
        <v>94</v>
      </c>
      <c r="E58" s="143" t="s">
        <v>46</v>
      </c>
      <c r="F58">
        <f>((AVERAGE(F47:G47))*(0.2*1000))/10</f>
        <v>305.6155</v>
      </c>
      <c r="G58" s="769">
        <f>AVERAGE(F58:F62)</f>
        <v>222.35059999999984</v>
      </c>
      <c r="H58">
        <f>STDEV(F58:F62)</f>
        <v>57.821139308431377</v>
      </c>
      <c r="Q58" s="690"/>
      <c r="R58" s="628"/>
      <c r="S58" s="657"/>
      <c r="T58" s="287" t="s">
        <v>48</v>
      </c>
      <c r="U58" s="79">
        <f t="shared" si="29"/>
        <v>312.82600000000014</v>
      </c>
      <c r="V58" s="672"/>
      <c r="AF58" s="648"/>
      <c r="AG58" s="755"/>
      <c r="AH58" s="657"/>
      <c r="AI58" s="79" t="s">
        <v>121</v>
      </c>
      <c r="AJ58" s="79">
        <f>(AVERAGE(AH51:AI51))*20</f>
        <v>306.98820000000001</v>
      </c>
      <c r="AK58" s="743"/>
      <c r="AU58" s="645"/>
      <c r="AV58" s="746"/>
      <c r="AW58" s="666"/>
      <c r="AX58" s="79" t="s">
        <v>119</v>
      </c>
      <c r="AY58" s="414">
        <f>AVERAGE(AY49:AZ49)*20</f>
        <v>251.05240000000009</v>
      </c>
      <c r="AZ58" s="732"/>
      <c r="BJ58" s="628"/>
      <c r="BK58" s="739"/>
      <c r="BL58" s="657" t="s">
        <v>144</v>
      </c>
      <c r="BM58" s="132" t="s">
        <v>49</v>
      </c>
      <c r="BN58" s="132">
        <f>AVERAGE(BN47:BO47)*20</f>
        <v>251.15640000000027</v>
      </c>
      <c r="BO58" s="748">
        <f>AVERAGE(BN58:BN62)</f>
        <v>265.90492</v>
      </c>
    </row>
    <row r="59" spans="2:75" x14ac:dyDescent="0.25">
      <c r="B59" s="690"/>
      <c r="C59" s="773"/>
      <c r="D59" s="657"/>
      <c r="E59" s="122" t="s">
        <v>44</v>
      </c>
      <c r="F59">
        <f>((AVERAGE(F48:G48))*(0.2*1000))/10</f>
        <v>192.51000000000005</v>
      </c>
      <c r="G59" s="770"/>
      <c r="H59">
        <f>G58+2*H58</f>
        <v>337.99287861686258</v>
      </c>
      <c r="Q59" s="690"/>
      <c r="R59" s="730"/>
      <c r="S59" s="658"/>
      <c r="T59" s="382" t="s">
        <v>49</v>
      </c>
      <c r="U59" s="138">
        <f t="shared" si="29"/>
        <v>304.54200000000003</v>
      </c>
      <c r="V59" s="760"/>
      <c r="AF59" s="648"/>
      <c r="AG59" s="755"/>
      <c r="AH59" s="657"/>
      <c r="AI59" s="79" t="s">
        <v>122</v>
      </c>
      <c r="AJ59" s="79">
        <f>(AVERAGE(AJ47:AK47))*20</f>
        <v>237.5303000000001</v>
      </c>
      <c r="AK59" s="743"/>
      <c r="AL59">
        <f>STDEV(AJ54:AJ63)</f>
        <v>120.3287158585739</v>
      </c>
      <c r="AU59" s="645"/>
      <c r="AV59" s="746"/>
      <c r="AW59" s="666"/>
      <c r="AX59" s="79" t="s">
        <v>120</v>
      </c>
      <c r="AY59" s="414">
        <f>AVERAGE(AY50:AZ50)*20</f>
        <v>279.42620000000034</v>
      </c>
      <c r="AZ59" s="732"/>
      <c r="BJ59" s="628"/>
      <c r="BK59" s="739"/>
      <c r="BL59" s="657"/>
      <c r="BM59" s="132" t="s">
        <v>711</v>
      </c>
      <c r="BN59" s="132">
        <f t="shared" ref="BN59:BN62" si="31">AVERAGE(BN48:BO48)*20</f>
        <v>298.87220000000013</v>
      </c>
      <c r="BO59" s="743"/>
    </row>
    <row r="60" spans="2:75" x14ac:dyDescent="0.25">
      <c r="B60" s="690"/>
      <c r="C60" s="773"/>
      <c r="D60" s="657"/>
      <c r="E60" s="122" t="s">
        <v>45</v>
      </c>
      <c r="F60">
        <f>((AVERAGE(F49:G49))*(0.2*1000))/10</f>
        <v>175.66449999999975</v>
      </c>
      <c r="G60" s="770"/>
      <c r="H60">
        <f>G58-2*H58</f>
        <v>106.70832138313709</v>
      </c>
      <c r="Q60" s="690"/>
      <c r="R60" s="628" t="s">
        <v>51</v>
      </c>
      <c r="S60" s="657" t="s">
        <v>143</v>
      </c>
      <c r="T60" s="287" t="s">
        <v>46</v>
      </c>
      <c r="U60" s="79">
        <f t="shared" ref="U60:U65" si="32">(AVERAGE(U47:V47))*20</f>
        <v>271.40600000000035</v>
      </c>
      <c r="V60" s="676">
        <f>AVERAGE(U60:U65)</f>
        <v>270.02533333333361</v>
      </c>
      <c r="AF60" s="648"/>
      <c r="AG60" s="755"/>
      <c r="AH60" s="657"/>
      <c r="AI60" s="79" t="s">
        <v>123</v>
      </c>
      <c r="AJ60" s="79">
        <f>(AVERAGE(AJ48:AK48))*20</f>
        <v>175.25769999999994</v>
      </c>
      <c r="AK60" s="743"/>
      <c r="AL60">
        <f>AK54+2*AL59</f>
        <v>530.16140171714778</v>
      </c>
      <c r="AU60" s="645"/>
      <c r="AV60" s="746"/>
      <c r="AW60" s="745"/>
      <c r="AX60" s="138" t="s">
        <v>121</v>
      </c>
      <c r="AY60" s="416">
        <f>AVERAGE(AY51:AZ51)*20</f>
        <v>237.95680000000047</v>
      </c>
      <c r="AZ60" s="733"/>
      <c r="BJ60" s="628"/>
      <c r="BK60" s="739"/>
      <c r="BL60" s="657"/>
      <c r="BM60" s="132" t="s">
        <v>712</v>
      </c>
      <c r="BN60" s="132">
        <f t="shared" si="31"/>
        <v>275.01429999999999</v>
      </c>
      <c r="BO60" s="743"/>
    </row>
    <row r="61" spans="2:75" x14ac:dyDescent="0.25">
      <c r="B61" s="690"/>
      <c r="C61" s="773"/>
      <c r="D61" s="657"/>
      <c r="E61" s="122" t="s">
        <v>47</v>
      </c>
      <c r="F61">
        <f>((AVERAGE(F50:G50))*(0.2*1000))/10</f>
        <v>259.89199999999971</v>
      </c>
      <c r="G61" s="770"/>
      <c r="Q61" s="690"/>
      <c r="R61" s="628"/>
      <c r="S61" s="657"/>
      <c r="T61" s="287" t="s">
        <v>44</v>
      </c>
      <c r="U61" s="79">
        <f t="shared" si="32"/>
        <v>265.19300000000015</v>
      </c>
      <c r="V61" s="672"/>
      <c r="AF61" s="648"/>
      <c r="AG61" s="755"/>
      <c r="AH61" s="657"/>
      <c r="AI61" s="79" t="s">
        <v>124</v>
      </c>
      <c r="AJ61" s="79">
        <f>(AVERAGE(AJ49:AK49))*20</f>
        <v>201.60380000000046</v>
      </c>
      <c r="AK61" s="743"/>
      <c r="AU61" s="645"/>
      <c r="AV61" s="746"/>
      <c r="AW61" s="666" t="s">
        <v>216</v>
      </c>
      <c r="AX61" s="79" t="s">
        <v>117</v>
      </c>
      <c r="AY61" s="414">
        <f>AVERAGE(BA47:BB47)*20</f>
        <v>194.30480000000045</v>
      </c>
      <c r="AZ61" s="731">
        <f>AVERAGE(AY61:AY65)</f>
        <v>195.61436000000006</v>
      </c>
      <c r="BJ61" s="628"/>
      <c r="BK61" s="739"/>
      <c r="BL61" s="657"/>
      <c r="BM61" s="132" t="s">
        <v>713</v>
      </c>
      <c r="BN61" s="132">
        <f t="shared" si="31"/>
        <v>262.0009</v>
      </c>
      <c r="BO61" s="743"/>
    </row>
    <row r="62" spans="2:75" x14ac:dyDescent="0.25">
      <c r="B62" s="690"/>
      <c r="C62" s="774"/>
      <c r="D62" s="658"/>
      <c r="E62" s="139" t="s">
        <v>48</v>
      </c>
      <c r="F62" s="139">
        <f>((AVERAGE(F51:G51))*(0.2*1000))/10</f>
        <v>178.07099999999991</v>
      </c>
      <c r="G62" s="771"/>
      <c r="J62">
        <f>0.2*1000</f>
        <v>200</v>
      </c>
      <c r="Q62" s="690"/>
      <c r="R62" s="628"/>
      <c r="S62" s="657"/>
      <c r="T62" s="287" t="s">
        <v>45</v>
      </c>
      <c r="U62" s="79">
        <f t="shared" si="32"/>
        <v>269.33500000000009</v>
      </c>
      <c r="V62" s="672"/>
      <c r="AF62" s="648"/>
      <c r="AG62" s="755"/>
      <c r="AH62" s="657"/>
      <c r="AI62" s="79" t="s">
        <v>125</v>
      </c>
      <c r="AJ62" s="79">
        <f>(AVERAGE(AJ50:AK50))*20</f>
        <v>551.2883999999998</v>
      </c>
      <c r="AK62" s="743"/>
      <c r="AU62" s="645"/>
      <c r="AV62" s="746"/>
      <c r="AW62" s="666"/>
      <c r="AX62" s="79" t="s">
        <v>118</v>
      </c>
      <c r="AY62" s="414">
        <f>AVERAGE(BA48:BB48)*20</f>
        <v>207.40039999999993</v>
      </c>
      <c r="AZ62" s="732"/>
      <c r="BJ62" s="628"/>
      <c r="BK62" s="740"/>
      <c r="BL62" s="658"/>
      <c r="BM62" s="134" t="s">
        <v>714</v>
      </c>
      <c r="BN62" s="139">
        <f t="shared" si="31"/>
        <v>242.48079999999959</v>
      </c>
      <c r="BO62" s="744"/>
    </row>
    <row r="63" spans="2:75" x14ac:dyDescent="0.25">
      <c r="B63" s="690"/>
      <c r="C63" s="772" t="s">
        <v>34</v>
      </c>
      <c r="D63" s="680" t="s">
        <v>95</v>
      </c>
      <c r="E63" s="143" t="s">
        <v>46</v>
      </c>
      <c r="F63">
        <f t="shared" ref="F63:F68" si="33">((AVERAGE(H47:I47))*(0.2*1000))/10</f>
        <v>223.7944999999998</v>
      </c>
      <c r="G63" s="769">
        <f>AVERAGE(F63:F68)</f>
        <v>231.0139999999999</v>
      </c>
      <c r="H63">
        <f>STDEV(F63:F68)</f>
        <v>30.818236954764085</v>
      </c>
      <c r="J63">
        <v>10</v>
      </c>
      <c r="Q63" s="690"/>
      <c r="R63" s="628"/>
      <c r="S63" s="657"/>
      <c r="T63" s="287" t="s">
        <v>47</v>
      </c>
      <c r="U63" s="79">
        <f t="shared" si="32"/>
        <v>234.12800000000033</v>
      </c>
      <c r="V63" s="672"/>
      <c r="AF63" s="648"/>
      <c r="AG63" s="756"/>
      <c r="AH63" s="658"/>
      <c r="AI63" s="138" t="s">
        <v>126</v>
      </c>
      <c r="AJ63" s="139">
        <f>(AVERAGE(AJ51:AK51))*20</f>
        <v>237.53029999999995</v>
      </c>
      <c r="AK63" s="744"/>
      <c r="AU63" s="645"/>
      <c r="AV63" s="746"/>
      <c r="AW63" s="666"/>
      <c r="AX63" s="79" t="s">
        <v>119</v>
      </c>
      <c r="AY63" s="414">
        <f>AVERAGE(BA49:BB49)*20</f>
        <v>170.29620000000008</v>
      </c>
      <c r="AZ63" s="732"/>
      <c r="BJ63" s="628"/>
      <c r="BK63" s="741" t="s">
        <v>715</v>
      </c>
      <c r="BL63" s="696" t="s">
        <v>143</v>
      </c>
      <c r="BM63" s="132" t="s">
        <v>46</v>
      </c>
      <c r="BN63" s="132">
        <f>AVERAGE(BP47:BQ47)*20</f>
        <v>353.09469999999988</v>
      </c>
      <c r="BO63" s="748">
        <f>AVERAGE(BN63:BN70)</f>
        <v>344.41909999999979</v>
      </c>
    </row>
    <row r="64" spans="2:75" x14ac:dyDescent="0.25">
      <c r="B64" s="690"/>
      <c r="C64" s="773"/>
      <c r="D64" s="657"/>
      <c r="E64" s="122" t="s">
        <v>44</v>
      </c>
      <c r="F64">
        <f t="shared" si="33"/>
        <v>199.72949999999983</v>
      </c>
      <c r="G64" s="770"/>
      <c r="H64">
        <f>G63+2*H63</f>
        <v>292.65047390952805</v>
      </c>
      <c r="Q64" s="690"/>
      <c r="R64" s="628"/>
      <c r="S64" s="657"/>
      <c r="T64" s="287" t="s">
        <v>48</v>
      </c>
      <c r="U64" s="79">
        <f t="shared" si="32"/>
        <v>308.6840000000002</v>
      </c>
      <c r="V64" s="672"/>
      <c r="AF64" s="648"/>
      <c r="AG64" s="754" t="s">
        <v>150</v>
      </c>
      <c r="AH64" s="680" t="s">
        <v>143</v>
      </c>
      <c r="AI64" s="163" t="s">
        <v>122</v>
      </c>
      <c r="AJ64" s="79">
        <f>(AVERAGE(AL47:AM47))*20</f>
        <v>297.40779999999984</v>
      </c>
      <c r="AK64" s="748">
        <f>AVERAGE(AJ64:AJ68)</f>
        <v>239.44637999999995</v>
      </c>
      <c r="AU64" s="645"/>
      <c r="AV64" s="746"/>
      <c r="AW64" s="666"/>
      <c r="AX64" s="79" t="s">
        <v>120</v>
      </c>
      <c r="AY64" s="414">
        <f>AVERAGE(BA50:BB50)*20</f>
        <v>203.03519999999992</v>
      </c>
      <c r="AZ64" s="732"/>
      <c r="BJ64" s="628"/>
      <c r="BK64" s="741"/>
      <c r="BL64" s="696"/>
      <c r="BM64" s="132" t="s">
        <v>44</v>
      </c>
      <c r="BN64" s="132">
        <f t="shared" ref="BN64:BN66" si="34">AVERAGE(BP48:BQ48)*20</f>
        <v>346.58799999999985</v>
      </c>
      <c r="BO64" s="743"/>
    </row>
    <row r="65" spans="2:67" x14ac:dyDescent="0.25">
      <c r="B65" s="690"/>
      <c r="C65" s="773"/>
      <c r="D65" s="657"/>
      <c r="E65" s="122" t="s">
        <v>45</v>
      </c>
      <c r="F65">
        <f t="shared" si="33"/>
        <v>211.76200000000009</v>
      </c>
      <c r="G65" s="770"/>
      <c r="H65">
        <f>G63-2*H63</f>
        <v>169.37752609047172</v>
      </c>
      <c r="Q65" s="690"/>
      <c r="R65" s="730"/>
      <c r="S65" s="658"/>
      <c r="T65" s="382" t="s">
        <v>49</v>
      </c>
      <c r="U65" s="138">
        <f t="shared" si="32"/>
        <v>271.40600000000035</v>
      </c>
      <c r="V65" s="760"/>
      <c r="AF65" s="648"/>
      <c r="AG65" s="755"/>
      <c r="AH65" s="657"/>
      <c r="AI65" s="79" t="s">
        <v>123</v>
      </c>
      <c r="AJ65" s="79">
        <f>(AVERAGE(AL48:AM48))*20</f>
        <v>187.23320000000015</v>
      </c>
      <c r="AK65" s="743"/>
      <c r="AU65" s="645"/>
      <c r="AV65" s="746"/>
      <c r="AW65" s="745"/>
      <c r="AX65" s="138" t="s">
        <v>121</v>
      </c>
      <c r="AY65" s="416">
        <f>AVERAGE(BA51:BB51)*20</f>
        <v>203.03519999999992</v>
      </c>
      <c r="AZ65" s="733"/>
      <c r="BJ65" s="628"/>
      <c r="BK65" s="741"/>
      <c r="BL65" s="696"/>
      <c r="BM65" s="132" t="s">
        <v>45</v>
      </c>
      <c r="BN65" s="132">
        <f t="shared" si="34"/>
        <v>333.57459999999975</v>
      </c>
      <c r="BO65" s="743"/>
    </row>
    <row r="66" spans="2:67" x14ac:dyDescent="0.25">
      <c r="B66" s="690"/>
      <c r="C66" s="773"/>
      <c r="D66" s="657"/>
      <c r="E66" s="122" t="s">
        <v>47</v>
      </c>
      <c r="F66">
        <f t="shared" si="33"/>
        <v>271.92449999999997</v>
      </c>
      <c r="G66" s="770"/>
      <c r="Q66" s="690"/>
      <c r="R66" s="628" t="s">
        <v>113</v>
      </c>
      <c r="S66" s="657" t="s">
        <v>144</v>
      </c>
      <c r="T66" s="287" t="s">
        <v>46</v>
      </c>
      <c r="U66" s="79">
        <f>(AVERAGE(W47:X47))*20</f>
        <v>184.42399999999992</v>
      </c>
      <c r="V66" s="676">
        <f>AVERAGE(U66:U69)</f>
        <v>197.36775</v>
      </c>
      <c r="AF66" s="648"/>
      <c r="AG66" s="755"/>
      <c r="AH66" s="657"/>
      <c r="AI66" s="79" t="s">
        <v>124</v>
      </c>
      <c r="AJ66" s="79">
        <f>(AVERAGE(AL49:AM49))*20</f>
        <v>208.78910000000005</v>
      </c>
      <c r="AK66" s="743"/>
      <c r="AU66" s="645"/>
      <c r="AV66" s="746"/>
      <c r="AW66" s="298" t="s">
        <v>217</v>
      </c>
      <c r="AX66" s="138" t="s">
        <v>117</v>
      </c>
      <c r="AY66" s="416">
        <f>AVERAGE(BC47:BD47)*20</f>
        <v>205.21780000000021</v>
      </c>
      <c r="AZ66" s="417">
        <f>AY66</f>
        <v>205.21780000000021</v>
      </c>
      <c r="BJ66" s="628"/>
      <c r="BK66" s="741"/>
      <c r="BL66" s="696"/>
      <c r="BM66" s="132" t="s">
        <v>47</v>
      </c>
      <c r="BN66" s="132">
        <f t="shared" si="34"/>
        <v>318.39229999999986</v>
      </c>
      <c r="BO66" s="743"/>
    </row>
    <row r="67" spans="2:67" x14ac:dyDescent="0.25">
      <c r="B67" s="690"/>
      <c r="C67" s="773"/>
      <c r="D67" s="657"/>
      <c r="E67" s="122" t="s">
        <v>48</v>
      </c>
      <c r="F67">
        <f t="shared" si="33"/>
        <v>211.76199999999966</v>
      </c>
      <c r="G67" s="770"/>
      <c r="Q67" s="690"/>
      <c r="R67" s="628"/>
      <c r="S67" s="657"/>
      <c r="T67" s="287" t="s">
        <v>44</v>
      </c>
      <c r="U67" s="79">
        <f>(AVERAGE(W48:X48))*20</f>
        <v>240.34100000000009</v>
      </c>
      <c r="V67" s="672"/>
      <c r="AF67" s="648"/>
      <c r="AG67" s="755"/>
      <c r="AH67" s="657"/>
      <c r="AI67" s="79" t="s">
        <v>125</v>
      </c>
      <c r="AJ67" s="79">
        <f>(AVERAGE(AL50:AM50))*20</f>
        <v>239.92539999999977</v>
      </c>
      <c r="AK67" s="743"/>
      <c r="AU67" s="645"/>
      <c r="AV67" s="746"/>
      <c r="AW67" s="666" t="s">
        <v>218</v>
      </c>
      <c r="AX67" s="79" t="s">
        <v>117</v>
      </c>
      <c r="AY67" s="414">
        <f>AVERAGE(BC48:BD48)*20</f>
        <v>224.86120000000057</v>
      </c>
      <c r="AZ67" s="731">
        <f>AVERAGE(AY67:AY69)</f>
        <v>202.3076666666669</v>
      </c>
      <c r="BJ67" s="628"/>
      <c r="BK67" s="741"/>
      <c r="BL67" s="696"/>
      <c r="BM67" s="132" t="s">
        <v>48</v>
      </c>
      <c r="BN67" s="132">
        <f>AVERAGE(BR47:BS47)*20</f>
        <v>366.10810000000004</v>
      </c>
      <c r="BO67" s="743"/>
    </row>
    <row r="68" spans="2:67" x14ac:dyDescent="0.25">
      <c r="B68" s="690"/>
      <c r="C68" s="774"/>
      <c r="D68" s="658"/>
      <c r="E68" s="139" t="s">
        <v>49</v>
      </c>
      <c r="F68" s="139">
        <f t="shared" si="33"/>
        <v>267.11149999999986</v>
      </c>
      <c r="G68" s="771"/>
      <c r="Q68" s="690"/>
      <c r="R68" s="628"/>
      <c r="S68" s="657"/>
      <c r="T68" s="287" t="s">
        <v>45</v>
      </c>
      <c r="U68" s="79">
        <f>(AVERAGE(W49:X49))*20</f>
        <v>169.92699999999999</v>
      </c>
      <c r="V68" s="672"/>
      <c r="AF68" s="648"/>
      <c r="AG68" s="756"/>
      <c r="AH68" s="658"/>
      <c r="AI68" s="138" t="s">
        <v>126</v>
      </c>
      <c r="AJ68" s="139">
        <f>(AVERAGE(AL51:AM51))*20</f>
        <v>263.87639999999988</v>
      </c>
      <c r="AK68" s="744"/>
      <c r="AU68" s="645"/>
      <c r="AV68" s="746"/>
      <c r="AW68" s="666"/>
      <c r="AX68" s="79" t="s">
        <v>118</v>
      </c>
      <c r="AY68" s="414">
        <f>AVERAGE(BC49:BD49)*20</f>
        <v>183.39180000000013</v>
      </c>
      <c r="AZ68" s="732"/>
      <c r="BJ68" s="628"/>
      <c r="BK68" s="741"/>
      <c r="BL68" s="696"/>
      <c r="BM68" s="132" t="s">
        <v>49</v>
      </c>
      <c r="BN68" s="132">
        <f t="shared" ref="BN68:BN70" si="35">AVERAGE(BR48:BS48)*20</f>
        <v>355.26359999999983</v>
      </c>
      <c r="BO68" s="743"/>
    </row>
    <row r="69" spans="2:67" ht="15.75" thickBot="1" x14ac:dyDescent="0.3">
      <c r="B69" s="690"/>
      <c r="C69" s="772" t="s">
        <v>35</v>
      </c>
      <c r="D69" s="680" t="s">
        <v>96</v>
      </c>
      <c r="E69" s="143" t="s">
        <v>46</v>
      </c>
      <c r="F69">
        <f t="shared" ref="F69:F74" si="36">((AVERAGE(J47:K47))*(0.2*1000))/10</f>
        <v>218.98149999999987</v>
      </c>
      <c r="G69" s="769">
        <f>AVERAGE(F69:F74)</f>
        <v>229.40966666666645</v>
      </c>
      <c r="H69">
        <f>STDEV(F69:F74)</f>
        <v>36.517530704671842</v>
      </c>
      <c r="Q69" s="690"/>
      <c r="R69" s="730"/>
      <c r="S69" s="658"/>
      <c r="T69" s="382" t="s">
        <v>47</v>
      </c>
      <c r="U69" s="138">
        <f>(AVERAGE(W50:X50))*20</f>
        <v>194.77900000000005</v>
      </c>
      <c r="V69" s="760"/>
      <c r="AF69" s="648"/>
      <c r="AG69" s="753" t="s">
        <v>154</v>
      </c>
      <c r="AH69" s="750" t="s">
        <v>144</v>
      </c>
      <c r="AI69" s="331" t="s">
        <v>46</v>
      </c>
      <c r="AJ69" s="79">
        <f t="shared" ref="AJ69:AJ74" si="37">(AVERAGE(AN47:AO47))*20</f>
        <v>235.13519999999986</v>
      </c>
      <c r="AK69" s="748">
        <f>AVERAGE(AJ69:AJ75)</f>
        <v>210.49988571428563</v>
      </c>
      <c r="AU69" s="646"/>
      <c r="AV69" s="747"/>
      <c r="AW69" s="683"/>
      <c r="AX69" s="82" t="s">
        <v>119</v>
      </c>
      <c r="AY69" s="415">
        <f>AVERAGE(BC50:BD50)*20</f>
        <v>198.6699999999999</v>
      </c>
      <c r="AZ69" s="734"/>
      <c r="BJ69" s="628"/>
      <c r="BK69" s="741"/>
      <c r="BL69" s="696"/>
      <c r="BM69" s="132" t="s">
        <v>711</v>
      </c>
      <c r="BN69" s="132">
        <f t="shared" si="35"/>
        <v>316.22339999999963</v>
      </c>
      <c r="BO69" s="743"/>
    </row>
    <row r="70" spans="2:67" ht="15.75" thickBot="1" x14ac:dyDescent="0.3">
      <c r="B70" s="690"/>
      <c r="C70" s="773"/>
      <c r="D70" s="657"/>
      <c r="E70" s="122" t="s">
        <v>44</v>
      </c>
      <c r="F70">
        <f t="shared" si="36"/>
        <v>202.13600000000014</v>
      </c>
      <c r="G70" s="770"/>
      <c r="H70">
        <f>G69+2*H69</f>
        <v>302.44472807601016</v>
      </c>
      <c r="Q70" s="690"/>
      <c r="R70" s="628" t="s">
        <v>127</v>
      </c>
      <c r="S70" s="657" t="s">
        <v>96</v>
      </c>
      <c r="T70" s="287" t="s">
        <v>117</v>
      </c>
      <c r="U70" s="79">
        <f t="shared" ref="U70:U75" si="38">(AVERAGE(Y47:Z47))*20</f>
        <v>213.41799999999978</v>
      </c>
      <c r="V70" s="676">
        <f>AVERAGE(U70:U79)</f>
        <v>217.56000000000003</v>
      </c>
      <c r="AF70" s="648"/>
      <c r="AG70" s="669"/>
      <c r="AH70" s="751"/>
      <c r="AI70" s="332" t="s">
        <v>44</v>
      </c>
      <c r="AJ70" s="79">
        <f t="shared" si="37"/>
        <v>112.98509999999993</v>
      </c>
      <c r="AK70" s="743"/>
      <c r="BJ70" s="629"/>
      <c r="BK70" s="742"/>
      <c r="BL70" s="639"/>
      <c r="BM70" s="203" t="s">
        <v>712</v>
      </c>
      <c r="BN70" s="203">
        <f t="shared" si="35"/>
        <v>366.10810000000004</v>
      </c>
      <c r="BO70" s="749"/>
    </row>
    <row r="71" spans="2:67" x14ac:dyDescent="0.25">
      <c r="B71" s="690"/>
      <c r="C71" s="773"/>
      <c r="D71" s="657"/>
      <c r="E71" s="122" t="s">
        <v>45</v>
      </c>
      <c r="F71">
        <f t="shared" si="36"/>
        <v>204.54249999999988</v>
      </c>
      <c r="G71" s="770"/>
      <c r="H71">
        <f>G69-2*H69</f>
        <v>156.37460525732277</v>
      </c>
      <c r="Q71" s="690"/>
      <c r="R71" s="628"/>
      <c r="S71" s="657"/>
      <c r="T71" s="287" t="s">
        <v>118</v>
      </c>
      <c r="U71" s="79">
        <f t="shared" si="38"/>
        <v>244.48300000000003</v>
      </c>
      <c r="V71" s="672"/>
      <c r="AF71" s="648"/>
      <c r="AG71" s="669"/>
      <c r="AH71" s="751"/>
      <c r="AI71" s="332" t="s">
        <v>122</v>
      </c>
      <c r="AJ71" s="79">
        <f t="shared" si="37"/>
        <v>184.83810000000005</v>
      </c>
      <c r="AK71" s="743"/>
    </row>
    <row r="72" spans="2:67" x14ac:dyDescent="0.25">
      <c r="B72" s="690"/>
      <c r="C72" s="773"/>
      <c r="D72" s="657"/>
      <c r="E72" s="122" t="s">
        <v>47</v>
      </c>
      <c r="F72">
        <f t="shared" si="36"/>
        <v>211.76199999999966</v>
      </c>
      <c r="G72" s="770"/>
      <c r="Q72" s="690"/>
      <c r="R72" s="628"/>
      <c r="S72" s="657"/>
      <c r="T72" s="287" t="s">
        <v>119</v>
      </c>
      <c r="U72" s="79">
        <f t="shared" si="38"/>
        <v>188.56599999999986</v>
      </c>
      <c r="V72" s="672"/>
      <c r="AF72" s="648"/>
      <c r="AG72" s="669"/>
      <c r="AH72" s="751"/>
      <c r="AI72" s="332" t="s">
        <v>123</v>
      </c>
      <c r="AJ72" s="79">
        <f t="shared" si="37"/>
        <v>201.60379999999975</v>
      </c>
      <c r="AK72" s="743"/>
    </row>
    <row r="73" spans="2:67" x14ac:dyDescent="0.25">
      <c r="B73" s="690"/>
      <c r="C73" s="773"/>
      <c r="D73" s="657"/>
      <c r="E73" s="122" t="s">
        <v>48</v>
      </c>
      <c r="F73">
        <f t="shared" si="36"/>
        <v>240.6399999999995</v>
      </c>
      <c r="G73" s="770"/>
      <c r="Q73" s="690"/>
      <c r="R73" s="628"/>
      <c r="S73" s="657"/>
      <c r="T73" s="287" t="s">
        <v>120</v>
      </c>
      <c r="U73" s="79">
        <f t="shared" si="38"/>
        <v>219.63100000000011</v>
      </c>
      <c r="V73" s="672"/>
      <c r="AC73">
        <f>0*(0.2*1000)</f>
        <v>0</v>
      </c>
      <c r="AF73" s="648"/>
      <c r="AG73" s="669"/>
      <c r="AH73" s="751"/>
      <c r="AI73" s="332" t="s">
        <v>124</v>
      </c>
      <c r="AJ73" s="79">
        <f t="shared" si="37"/>
        <v>239.92539999999991</v>
      </c>
      <c r="AK73" s="743"/>
    </row>
    <row r="74" spans="2:67" x14ac:dyDescent="0.25">
      <c r="B74" s="690"/>
      <c r="C74" s="774"/>
      <c r="D74" s="658"/>
      <c r="E74" s="139" t="s">
        <v>49</v>
      </c>
      <c r="F74" s="139">
        <f t="shared" si="36"/>
        <v>298.39599999999962</v>
      </c>
      <c r="G74" s="771"/>
      <c r="Q74" s="690"/>
      <c r="R74" s="628"/>
      <c r="S74" s="657"/>
      <c r="T74" s="287" t="s">
        <v>121</v>
      </c>
      <c r="U74" s="79">
        <f t="shared" si="38"/>
        <v>192.70799999999994</v>
      </c>
      <c r="V74" s="672"/>
      <c r="AF74" s="648"/>
      <c r="AG74" s="669"/>
      <c r="AH74" s="751"/>
      <c r="AI74" s="332" t="s">
        <v>125</v>
      </c>
      <c r="AJ74" s="79">
        <f t="shared" si="37"/>
        <v>263.87639999999988</v>
      </c>
      <c r="AK74" s="743"/>
    </row>
    <row r="75" spans="2:67" x14ac:dyDescent="0.25">
      <c r="B75" s="690"/>
      <c r="C75" s="755" t="s">
        <v>50</v>
      </c>
      <c r="D75" s="751" t="s">
        <v>97</v>
      </c>
      <c r="E75" s="122" t="s">
        <v>46</v>
      </c>
      <c r="F75">
        <f t="shared" ref="F75:F80" si="39">((AVERAGE(L47:M47))*(0.2*1000))/10</f>
        <v>96.249999999999716</v>
      </c>
      <c r="G75" s="775">
        <f>AVERAGE(F75:F80)</f>
        <v>200.93274999999983</v>
      </c>
      <c r="H75">
        <f>STDEV(F75:F80)</f>
        <v>61.046411752657676</v>
      </c>
      <c r="Q75" s="690"/>
      <c r="R75" s="628"/>
      <c r="S75" s="657"/>
      <c r="T75" s="287" t="s">
        <v>122</v>
      </c>
      <c r="U75" s="79">
        <f t="shared" si="38"/>
        <v>229.98600000000025</v>
      </c>
      <c r="V75" s="672"/>
      <c r="AF75" s="648"/>
      <c r="AG75" s="670"/>
      <c r="AH75" s="752"/>
      <c r="AI75" s="333" t="s">
        <v>126</v>
      </c>
      <c r="AJ75" s="139">
        <f t="shared" ref="AJ75:AJ80" si="40">(AVERAGE(AP47:AQ47))*20</f>
        <v>235.13519999999986</v>
      </c>
      <c r="AK75" s="744"/>
    </row>
    <row r="76" spans="2:67" x14ac:dyDescent="0.25">
      <c r="B76" s="690"/>
      <c r="C76" s="755"/>
      <c r="D76" s="751"/>
      <c r="E76" s="122" t="s">
        <v>44</v>
      </c>
      <c r="F76">
        <f t="shared" si="39"/>
        <v>175.66449999999975</v>
      </c>
      <c r="G76" s="776"/>
      <c r="H76">
        <f>G75+2*H75</f>
        <v>323.02557350531515</v>
      </c>
      <c r="Q76" s="690"/>
      <c r="R76" s="628"/>
      <c r="S76" s="657"/>
      <c r="T76" s="287" t="s">
        <v>123</v>
      </c>
      <c r="U76" s="79">
        <f t="shared" ref="U76:U81" si="41">(AVERAGE(AA47:AB47))*20</f>
        <v>207.20500000000001</v>
      </c>
      <c r="V76" s="672"/>
      <c r="AF76" s="648"/>
      <c r="AG76" s="753" t="s">
        <v>153</v>
      </c>
      <c r="AH76" s="680" t="s">
        <v>149</v>
      </c>
      <c r="AI76" s="331" t="s">
        <v>117</v>
      </c>
      <c r="AJ76" s="79">
        <f t="shared" si="40"/>
        <v>201.60379999999975</v>
      </c>
      <c r="AK76" s="748">
        <f>AVERAGE(AJ76:AJ84)</f>
        <v>226.08704444444444</v>
      </c>
    </row>
    <row r="77" spans="2:67" x14ac:dyDescent="0.25">
      <c r="B77" s="690"/>
      <c r="C77" s="755"/>
      <c r="D77" s="751"/>
      <c r="E77" s="122" t="s">
        <v>45</v>
      </c>
      <c r="F77">
        <f t="shared" si="39"/>
        <v>204.54249999999973</v>
      </c>
      <c r="G77" s="776"/>
      <c r="H77">
        <f>G75-2*H75</f>
        <v>78.839926494684477</v>
      </c>
      <c r="Q77" s="690"/>
      <c r="R77" s="628"/>
      <c r="S77" s="657"/>
      <c r="T77" s="287" t="s">
        <v>124</v>
      </c>
      <c r="U77" s="79">
        <f t="shared" si="41"/>
        <v>229.98600000000025</v>
      </c>
      <c r="V77" s="672"/>
      <c r="AF77" s="648"/>
      <c r="AG77" s="669"/>
      <c r="AH77" s="657"/>
      <c r="AI77" s="332" t="s">
        <v>118</v>
      </c>
      <c r="AJ77" s="79">
        <f t="shared" si="40"/>
        <v>187.23319999999973</v>
      </c>
      <c r="AK77" s="743"/>
    </row>
    <row r="78" spans="2:67" x14ac:dyDescent="0.25">
      <c r="B78" s="690"/>
      <c r="C78" s="755"/>
      <c r="D78" s="751"/>
      <c r="E78" s="122" t="s">
        <v>47</v>
      </c>
      <c r="F78">
        <f t="shared" si="39"/>
        <v>209.35549999999995</v>
      </c>
      <c r="G78" s="776"/>
      <c r="Q78" s="690"/>
      <c r="R78" s="628"/>
      <c r="S78" s="657"/>
      <c r="T78" s="287" t="s">
        <v>125</v>
      </c>
      <c r="U78" s="79">
        <f t="shared" si="41"/>
        <v>234.12800000000033</v>
      </c>
      <c r="V78" s="672"/>
      <c r="AF78" s="648"/>
      <c r="AG78" s="669"/>
      <c r="AH78" s="657"/>
      <c r="AI78" s="332" t="s">
        <v>119</v>
      </c>
      <c r="AJ78" s="79">
        <f t="shared" si="40"/>
        <v>182.44300000000024</v>
      </c>
      <c r="AK78" s="743"/>
    </row>
    <row r="79" spans="2:67" x14ac:dyDescent="0.25">
      <c r="B79" s="690"/>
      <c r="C79" s="755"/>
      <c r="D79" s="751"/>
      <c r="E79" s="122" t="s">
        <v>48</v>
      </c>
      <c r="F79">
        <f t="shared" si="39"/>
        <v>259.89199999999971</v>
      </c>
      <c r="G79" s="776"/>
      <c r="Q79" s="690"/>
      <c r="R79" s="730"/>
      <c r="S79" s="658"/>
      <c r="T79" s="382" t="s">
        <v>126</v>
      </c>
      <c r="U79" s="138">
        <f t="shared" si="41"/>
        <v>215.48900000000003</v>
      </c>
      <c r="V79" s="760"/>
      <c r="AF79" s="648"/>
      <c r="AG79" s="669"/>
      <c r="AH79" s="657"/>
      <c r="AI79" s="332" t="s">
        <v>120</v>
      </c>
      <c r="AJ79" s="79">
        <f t="shared" si="40"/>
        <v>189.62829999999997</v>
      </c>
      <c r="AK79" s="743"/>
    </row>
    <row r="80" spans="2:67" ht="15.75" thickBot="1" x14ac:dyDescent="0.3">
      <c r="B80" s="691"/>
      <c r="C80" s="762"/>
      <c r="D80" s="631"/>
      <c r="E80" s="123" t="s">
        <v>49</v>
      </c>
      <c r="F80" s="82">
        <f t="shared" si="39"/>
        <v>259.89200000000022</v>
      </c>
      <c r="G80" s="777"/>
      <c r="Q80" s="690"/>
      <c r="R80" s="628" t="s">
        <v>128</v>
      </c>
      <c r="S80" s="657" t="s">
        <v>142</v>
      </c>
      <c r="T80" s="287" t="s">
        <v>117</v>
      </c>
      <c r="U80" s="79">
        <f t="shared" si="41"/>
        <v>300.40000000000009</v>
      </c>
      <c r="V80" s="676">
        <f>AVERAGE(U80:U88)</f>
        <v>285.44277777777785</v>
      </c>
      <c r="AF80" s="648"/>
      <c r="AG80" s="669"/>
      <c r="AH80" s="657"/>
      <c r="AI80" s="332" t="s">
        <v>121</v>
      </c>
      <c r="AJ80" s="79">
        <f t="shared" si="40"/>
        <v>326.14899999999977</v>
      </c>
      <c r="AK80" s="743"/>
    </row>
    <row r="81" spans="17:37" x14ac:dyDescent="0.25">
      <c r="Q81" s="690"/>
      <c r="R81" s="628"/>
      <c r="S81" s="657"/>
      <c r="T81" s="287" t="s">
        <v>118</v>
      </c>
      <c r="U81" s="79">
        <f t="shared" si="41"/>
        <v>271.40599999999995</v>
      </c>
      <c r="V81" s="672"/>
      <c r="AF81" s="648"/>
      <c r="AG81" s="669"/>
      <c r="AH81" s="657"/>
      <c r="AI81" s="332" t="s">
        <v>122</v>
      </c>
      <c r="AJ81" s="79">
        <f>(AVERAGE(AR47:AS47))*20</f>
        <v>290.22250000000014</v>
      </c>
      <c r="AK81" s="743"/>
    </row>
    <row r="82" spans="17:37" x14ac:dyDescent="0.25">
      <c r="Q82" s="690"/>
      <c r="R82" s="628"/>
      <c r="S82" s="657"/>
      <c r="T82" s="287" t="s">
        <v>119</v>
      </c>
      <c r="U82" s="79">
        <f t="shared" ref="U82:U88" si="42">(AVERAGE(AC45:AD45))*20</f>
        <v>319.03900000000021</v>
      </c>
      <c r="V82" s="672"/>
      <c r="AF82" s="648"/>
      <c r="AG82" s="669"/>
      <c r="AH82" s="657"/>
      <c r="AI82" s="332" t="s">
        <v>124</v>
      </c>
      <c r="AJ82" s="79">
        <f>(AVERAGE(AR48:AS48))*20</f>
        <v>196.81360000000026</v>
      </c>
      <c r="AK82" s="743"/>
    </row>
    <row r="83" spans="17:37" x14ac:dyDescent="0.25">
      <c r="Q83" s="690"/>
      <c r="R83" s="628"/>
      <c r="S83" s="657"/>
      <c r="T83" s="287" t="s">
        <v>120</v>
      </c>
      <c r="U83" s="79">
        <f t="shared" si="42"/>
        <v>263.1219999999999</v>
      </c>
      <c r="V83" s="672"/>
      <c r="AF83" s="648"/>
      <c r="AG83" s="669"/>
      <c r="AH83" s="666"/>
      <c r="AI83" s="332" t="s">
        <v>125</v>
      </c>
      <c r="AJ83" s="79">
        <f>(AVERAGE(AR49:AS49))*20</f>
        <v>203.99889999999999</v>
      </c>
      <c r="AK83" s="743"/>
    </row>
    <row r="84" spans="17:37" ht="15.75" thickBot="1" x14ac:dyDescent="0.3">
      <c r="Q84" s="690"/>
      <c r="R84" s="628"/>
      <c r="S84" s="657"/>
      <c r="T84" s="287" t="s">
        <v>121</v>
      </c>
      <c r="U84" s="79">
        <f t="shared" si="42"/>
        <v>271.40600000000006</v>
      </c>
      <c r="V84" s="672"/>
      <c r="AF84" s="656"/>
      <c r="AG84" s="684"/>
      <c r="AH84" s="636"/>
      <c r="AI84" s="330" t="s">
        <v>126</v>
      </c>
      <c r="AJ84" s="82">
        <f>(AVERAGE(AR50:AS50))*20</f>
        <v>256.69110000000018</v>
      </c>
      <c r="AK84" s="749"/>
    </row>
    <row r="85" spans="17:37" x14ac:dyDescent="0.25">
      <c r="Q85" s="690"/>
      <c r="R85" s="628"/>
      <c r="S85" s="657"/>
      <c r="T85" s="287" t="s">
        <v>122</v>
      </c>
      <c r="U85" s="79">
        <f t="shared" si="42"/>
        <v>279.68999999999994</v>
      </c>
      <c r="V85" s="672"/>
    </row>
    <row r="86" spans="17:37" x14ac:dyDescent="0.25">
      <c r="Q86" s="690"/>
      <c r="R86" s="628"/>
      <c r="S86" s="657"/>
      <c r="T86" s="287" t="s">
        <v>123</v>
      </c>
      <c r="U86" s="79">
        <f t="shared" si="42"/>
        <v>316.96800000000007</v>
      </c>
      <c r="V86" s="672"/>
    </row>
    <row r="87" spans="17:37" x14ac:dyDescent="0.25">
      <c r="Q87" s="690"/>
      <c r="R87" s="628"/>
      <c r="S87" s="657"/>
      <c r="T87" s="287" t="s">
        <v>124</v>
      </c>
      <c r="U87" s="79">
        <f t="shared" si="42"/>
        <v>277.61900000000014</v>
      </c>
      <c r="V87" s="672"/>
    </row>
    <row r="88" spans="17:37" ht="15.75" thickBot="1" x14ac:dyDescent="0.3">
      <c r="Q88" s="691"/>
      <c r="R88" s="629"/>
      <c r="S88" s="636"/>
      <c r="T88" s="269" t="s">
        <v>125</v>
      </c>
      <c r="U88" s="82">
        <f t="shared" si="42"/>
        <v>269.33500000000026</v>
      </c>
      <c r="V88" s="703"/>
    </row>
  </sheetData>
  <mergeCells count="91">
    <mergeCell ref="G75:G80"/>
    <mergeCell ref="B2:B10"/>
    <mergeCell ref="B1:O1"/>
    <mergeCell ref="B11:B19"/>
    <mergeCell ref="B20:B28"/>
    <mergeCell ref="B29:B43"/>
    <mergeCell ref="B44:B52"/>
    <mergeCell ref="B53:B80"/>
    <mergeCell ref="C54:C57"/>
    <mergeCell ref="D54:D57"/>
    <mergeCell ref="G54:G57"/>
    <mergeCell ref="C58:C62"/>
    <mergeCell ref="D58:D62"/>
    <mergeCell ref="G58:G62"/>
    <mergeCell ref="C63:C68"/>
    <mergeCell ref="C75:C80"/>
    <mergeCell ref="D63:D68"/>
    <mergeCell ref="G63:G68"/>
    <mergeCell ref="C69:C74"/>
    <mergeCell ref="D69:D74"/>
    <mergeCell ref="G69:G74"/>
    <mergeCell ref="D75:D80"/>
    <mergeCell ref="Q1:AD1"/>
    <mergeCell ref="Q2:Q10"/>
    <mergeCell ref="Q11:Q19"/>
    <mergeCell ref="Q20:Q28"/>
    <mergeCell ref="Q29:Q43"/>
    <mergeCell ref="Q44:Q52"/>
    <mergeCell ref="Q53:Q88"/>
    <mergeCell ref="R54:R59"/>
    <mergeCell ref="S54:S59"/>
    <mergeCell ref="R60:R65"/>
    <mergeCell ref="S60:S65"/>
    <mergeCell ref="R66:R69"/>
    <mergeCell ref="S66:S69"/>
    <mergeCell ref="R70:R79"/>
    <mergeCell ref="S70:S79"/>
    <mergeCell ref="R80:R88"/>
    <mergeCell ref="S80:S88"/>
    <mergeCell ref="V54:V59"/>
    <mergeCell ref="V60:V65"/>
    <mergeCell ref="V66:V69"/>
    <mergeCell ref="V70:V79"/>
    <mergeCell ref="V80:V88"/>
    <mergeCell ref="AF2:AF10"/>
    <mergeCell ref="AF11:AF19"/>
    <mergeCell ref="AF20:AF28"/>
    <mergeCell ref="AF29:AF43"/>
    <mergeCell ref="AF44:AF52"/>
    <mergeCell ref="AF53:AF84"/>
    <mergeCell ref="AG54:AG63"/>
    <mergeCell ref="AH54:AH63"/>
    <mergeCell ref="AK54:AK63"/>
    <mergeCell ref="AG64:AG68"/>
    <mergeCell ref="AH64:AH68"/>
    <mergeCell ref="AK64:AK68"/>
    <mergeCell ref="AG69:AG75"/>
    <mergeCell ref="AH69:AH75"/>
    <mergeCell ref="AK69:AK75"/>
    <mergeCell ref="AG76:AG84"/>
    <mergeCell ref="AH76:AH84"/>
    <mergeCell ref="AK76:AK84"/>
    <mergeCell ref="AU2:AU10"/>
    <mergeCell ref="AU11:AU19"/>
    <mergeCell ref="AU20:AU28"/>
    <mergeCell ref="AU29:AU43"/>
    <mergeCell ref="AU44:AU52"/>
    <mergeCell ref="AU53:AU69"/>
    <mergeCell ref="AV54:AV69"/>
    <mergeCell ref="AW54:AW55"/>
    <mergeCell ref="AZ54:AZ55"/>
    <mergeCell ref="AW56:AW60"/>
    <mergeCell ref="AZ56:AZ60"/>
    <mergeCell ref="AW61:AW65"/>
    <mergeCell ref="AZ61:AZ65"/>
    <mergeCell ref="AW67:AW69"/>
    <mergeCell ref="AZ67:AZ69"/>
    <mergeCell ref="BJ2:BJ10"/>
    <mergeCell ref="BJ11:BJ19"/>
    <mergeCell ref="BJ20:BJ28"/>
    <mergeCell ref="BJ29:BJ43"/>
    <mergeCell ref="BJ44:BJ52"/>
    <mergeCell ref="BO54:BO57"/>
    <mergeCell ref="BO58:BO62"/>
    <mergeCell ref="BO63:BO70"/>
    <mergeCell ref="BJ53:BJ70"/>
    <mergeCell ref="BK54:BK62"/>
    <mergeCell ref="BL54:BL57"/>
    <mergeCell ref="BL58:BL62"/>
    <mergeCell ref="BK63:BK70"/>
    <mergeCell ref="BL63:BL70"/>
  </mergeCells>
  <hyperlinks>
    <hyperlink ref="A1" location="'Table of Contents'!A1" display="Table of Contents" xr:uid="{C7CAFDC4-276C-47FF-B79A-2DC09A514C7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All Data Summary</vt:lpstr>
      <vt:lpstr>All Data Stats</vt:lpstr>
      <vt:lpstr>Viability</vt:lpstr>
      <vt:lpstr>Biochem Summary</vt:lpstr>
      <vt:lpstr>Alamar Blue - Raw</vt:lpstr>
      <vt:lpstr>Alamar Blue - Analysis</vt:lpstr>
      <vt:lpstr>Picogreen</vt:lpstr>
      <vt:lpstr>DMMB</vt:lpstr>
      <vt:lpstr>OHP</vt:lpstr>
      <vt:lpstr>Weights</vt:lpstr>
      <vt:lpstr>Rx</vt:lpstr>
      <vt:lpstr>MMP Activity</vt:lpstr>
      <vt:lpstr>MSD Raw Data</vt:lpstr>
      <vt:lpstr>MSD Pivot Table</vt:lpstr>
      <vt:lpstr>MSD Analysis</vt:lpstr>
      <vt:lpstr>Histology</vt:lpstr>
      <vt:lpstr>H&amp;E</vt:lpstr>
      <vt:lpstr>SHG</vt:lpstr>
      <vt:lpstr>TolBlue</vt:lpstr>
      <vt:lpstr>PCR Results</vt:lpstr>
      <vt:lpstr>Gene Expression</vt:lpstr>
      <vt:lpstr>PCR Raw Data</vt:lpstr>
      <vt:lpstr>Mechanics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Mlawer, Sam J</dc:creator>
  <cp:lastModifiedBy>Mlawer, Sam</cp:lastModifiedBy>
  <dcterms:created xsi:type="dcterms:W3CDTF">2021-11-29T17:51:30Z</dcterms:created>
  <dcterms:modified xsi:type="dcterms:W3CDTF">2025-06-18T16:33:42Z</dcterms:modified>
</cp:coreProperties>
</file>