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lculate Price and Pool" sheetId="1" r:id="rId4"/>
    <sheet name="Calculate Fee Rate" sheetId="2" r:id="rId5"/>
  </sheets>
</workbook>
</file>

<file path=xl/sharedStrings.xml><?xml version="1.0" encoding="utf-8"?>
<sst xmlns="http://schemas.openxmlformats.org/spreadsheetml/2006/main" uniqueCount="65">
  <si>
    <t>Table 1</t>
  </si>
  <si>
    <t>Inputs</t>
  </si>
  <si>
    <t>OutPuts</t>
  </si>
  <si>
    <t>EthPool</t>
  </si>
  <si>
    <t>TokenPool</t>
  </si>
  <si>
    <t>Price</t>
  </si>
  <si>
    <t>No-Limit BuyAmount + Fee</t>
  </si>
  <si>
    <t>Limit BuyAmount+ Fee</t>
  </si>
  <si>
    <t>Refund rate No-Limit Buy</t>
  </si>
  <si>
    <t>Refund rate Limit Buy</t>
  </si>
  <si>
    <t>No-Limit SellAmount +Fee</t>
  </si>
  <si>
    <t>Limit SellAmount + Fee</t>
  </si>
  <si>
    <t>Refund rate Limit Sell</t>
  </si>
  <si>
    <t>Tolerance rate</t>
  </si>
  <si>
    <t>Fee rate</t>
  </si>
  <si>
    <t>Secure Rate</t>
  </si>
  <si>
    <t>EthPool (fees are only in basetoken)</t>
  </si>
  <si>
    <t>TokenPool (fees are only in basetoken)</t>
  </si>
  <si>
    <t>No-Limit BuyAmount</t>
  </si>
  <si>
    <t>Limit BuyAmount</t>
  </si>
  <si>
    <t>Total</t>
  </si>
  <si>
    <t>Eth for Lien</t>
  </si>
  <si>
    <t>No-Limit SellAmount</t>
  </si>
  <si>
    <t>Limit SellAmount</t>
  </si>
  <si>
    <t>Toke for lien</t>
  </si>
  <si>
    <t>lowPrice</t>
  </si>
  <si>
    <t>highPrice</t>
  </si>
  <si>
    <t>No-Limit BuyAmount Pay out</t>
  </si>
  <si>
    <t>Limit BuyAmount Pay out</t>
  </si>
  <si>
    <t>Ratio</t>
  </si>
  <si>
    <t>lowPrice5%</t>
  </si>
  <si>
    <t>highPrice5%</t>
  </si>
  <si>
    <t>SellAmount Ind in ETH</t>
  </si>
  <si>
    <t>SellAmount srip in ETH</t>
  </si>
  <si>
    <t>SellAmount in ETH</t>
  </si>
  <si>
    <t>Tolerance rate Category</t>
  </si>
  <si>
    <t>Tolerance rate executeAmount</t>
  </si>
  <si>
    <t>refundAmount</t>
  </si>
  <si>
    <t>buyAmount</t>
  </si>
  <si>
    <t>sellAmount</t>
  </si>
  <si>
    <t>Category of Secure rate</t>
  </si>
  <si>
    <t>Category of refund surplus</t>
  </si>
  <si>
    <t>Secure rate execute amount</t>
  </si>
  <si>
    <t>ETH Price ($)</t>
  </si>
  <si>
    <t>Strike Price ($)</t>
  </si>
  <si>
    <t>ETH Volatility (%)</t>
  </si>
  <si>
    <t>Remaining Period (second)</t>
  </si>
  <si>
    <t>S/K</t>
  </si>
  <si>
    <t>Volatility</t>
  </si>
  <si>
    <t>Remaining Period</t>
  </si>
  <si>
    <t>√T</t>
  </si>
  <si>
    <t>Extreme volatility</t>
  </si>
  <si>
    <t>High volatility</t>
  </si>
  <si>
    <t>Default rate</t>
  </si>
  <si>
    <t>√year in second</t>
  </si>
  <si>
    <t xml:space="preserve"> -226.69897374117446</t>
  </si>
  <si>
    <t xml:space="preserve"> -14.143621388702126</t>
  </si>
  <si>
    <t>-39.31019606604141</t>
  </si>
  <si>
    <t>Fee Rate (%)</t>
  </si>
  <si>
    <t>327.997870106653860000</t>
  </si>
  <si>
    <t>28.959220856904096</t>
  </si>
  <si>
    <t>-2.9318752575854687</t>
  </si>
  <si>
    <t>-6.085926862470381</t>
  </si>
  <si>
    <t>1.7564305040939976</t>
  </si>
  <si>
    <t>1.4068742374168284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</si>
</sst>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9">
    <border>
      <left/>
      <right/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/>
      <bottom style="thick">
        <color indexed="13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ck">
        <color indexed="13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ck">
        <color indexed="13"/>
      </right>
      <top style="thick">
        <color indexed="13"/>
      </top>
      <bottom style="thick">
        <color indexed="13"/>
      </bottom>
      <diagonal/>
    </border>
    <border>
      <left style="thick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ck">
        <color indexed="15"/>
      </top>
      <bottom style="thin">
        <color indexed="10"/>
      </bottom>
      <diagonal/>
    </border>
    <border>
      <left style="thin">
        <color indexed="10"/>
      </left>
      <right style="thick">
        <color indexed="15"/>
      </right>
      <top style="thick">
        <color indexed="15"/>
      </top>
      <bottom style="thin">
        <color indexed="10"/>
      </bottom>
      <diagonal/>
    </border>
    <border>
      <left style="thick">
        <color indexed="15"/>
      </left>
      <right/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/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ck">
        <color indexed="15"/>
      </bottom>
      <diagonal/>
    </border>
    <border>
      <left style="thin">
        <color indexed="10"/>
      </left>
      <right style="thin">
        <color indexed="10"/>
      </right>
      <top style="thick">
        <color indexed="15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7"/>
      </bottom>
      <diagonal/>
    </border>
    <border>
      <left style="thin">
        <color indexed="10"/>
      </left>
      <right style="thick">
        <color indexed="17"/>
      </right>
      <top style="thin">
        <color indexed="11"/>
      </top>
      <bottom style="thin">
        <color indexed="10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n">
        <color indexed="10"/>
      </left>
      <right style="thick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7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7"/>
      </top>
      <bottom style="thin">
        <color indexed="10"/>
      </bottom>
      <diagonal/>
    </border>
    <border>
      <left style="thick">
        <color indexed="15"/>
      </left>
      <right style="thick">
        <color indexed="15"/>
      </right>
      <top style="thick">
        <color indexed="15"/>
      </top>
      <bottom style="thin">
        <color indexed="10"/>
      </bottom>
      <diagonal/>
    </border>
    <border>
      <left style="thick">
        <color indexed="15"/>
      </left>
      <right style="thick">
        <color indexed="15"/>
      </right>
      <top style="thin">
        <color indexed="10"/>
      </top>
      <bottom style="thick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49" fontId="0" fillId="4" borderId="20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0" fontId="2" fillId="3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fillId="4" borderId="23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fillId="4" borderId="25" applyNumberFormat="1" applyFont="1" applyFill="1" applyBorder="1" applyAlignment="1" applyProtection="0">
      <alignment vertical="top" wrapText="1"/>
    </xf>
    <xf numFmtId="0" fontId="0" fillId="4" borderId="26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0" fontId="2" fillId="3" borderId="27" applyNumberFormat="0" applyFont="1" applyFill="1" applyBorder="1" applyAlignment="1" applyProtection="0">
      <alignment vertical="top" wrapText="1"/>
    </xf>
    <xf numFmtId="49" fontId="0" fillId="5" borderId="28" applyNumberFormat="1" applyFont="1" applyFill="1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fillId="5" borderId="28" applyNumberFormat="1" applyFont="1" applyFill="1" applyBorder="1" applyAlignment="1" applyProtection="0">
      <alignment vertical="top" wrapText="1"/>
    </xf>
    <xf numFmtId="0" fontId="0" fillId="4" borderId="29" applyNumberFormat="0" applyFont="1" applyFill="1" applyBorder="1" applyAlignment="1" applyProtection="0">
      <alignment vertical="top" wrapText="1"/>
    </xf>
    <xf numFmtId="0" fontId="2" fillId="3" borderId="30" applyNumberFormat="0" applyFont="1" applyFill="1" applyBorder="1" applyAlignment="1" applyProtection="0">
      <alignment vertical="top" wrapText="1"/>
    </xf>
    <xf numFmtId="49" fontId="0" fillId="5" borderId="31" applyNumberFormat="1" applyFont="1" applyFill="1" applyBorder="1" applyAlignment="1" applyProtection="0">
      <alignment vertical="top" wrapText="1"/>
    </xf>
    <xf numFmtId="49" fontId="0" borderId="29" applyNumberFormat="1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fillId="4" borderId="29" applyNumberFormat="1" applyFont="1" applyFill="1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vertical="top" wrapText="1"/>
    </xf>
    <xf numFmtId="0" fontId="0" fillId="4" borderId="32" applyNumberFormat="1" applyFont="1" applyFill="1" applyBorder="1" applyAlignment="1" applyProtection="0">
      <alignment vertical="top" wrapText="1"/>
    </xf>
    <xf numFmtId="0" fontId="0" fillId="4" borderId="33" applyNumberFormat="1" applyFont="1" applyFill="1" applyBorder="1" applyAlignment="1" applyProtection="0">
      <alignment vertical="top" wrapText="1"/>
    </xf>
    <xf numFmtId="0" fontId="0" fillId="4" borderId="24" applyNumberFormat="1" applyFont="1" applyFill="1" applyBorder="1" applyAlignment="1" applyProtection="0">
      <alignment vertical="top" wrapText="1"/>
    </xf>
    <xf numFmtId="49" fontId="0" fillId="4" borderId="34" applyNumberFormat="1" applyFont="1" applyFill="1" applyBorder="1" applyAlignment="1" applyProtection="0">
      <alignment vertical="top" wrapText="1"/>
    </xf>
    <xf numFmtId="0" fontId="0" fillId="4" borderId="35" applyNumberFormat="1" applyFont="1" applyFill="1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0" fillId="4" borderId="24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fillId="4" borderId="24" applyNumberFormat="0" applyFont="1" applyFill="1" applyBorder="1" applyAlignment="1" applyProtection="0">
      <alignment vertical="top" wrapText="1"/>
    </xf>
    <xf numFmtId="0" fontId="2" fillId="3" borderId="37" applyNumberFormat="0" applyFont="1" applyFill="1" applyBorder="1" applyAlignment="1" applyProtection="0">
      <alignment vertical="top" wrapText="1"/>
    </xf>
    <xf numFmtId="0" fontId="0" fillId="4" borderId="25" applyNumberFormat="0" applyFont="1" applyFill="1" applyBorder="1" applyAlignment="1" applyProtection="0">
      <alignment vertical="top" wrapText="1"/>
    </xf>
    <xf numFmtId="0" fontId="0" fillId="4" borderId="26" applyNumberFormat="0" applyFont="1" applyFill="1" applyBorder="1" applyAlignment="1" applyProtection="0">
      <alignment vertical="top" wrapText="1"/>
    </xf>
    <xf numFmtId="0" fontId="0" fillId="4" borderId="3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39" applyNumberFormat="0" applyFont="1" applyFill="1" applyBorder="1" applyAlignment="1" applyProtection="0">
      <alignment vertical="top" wrapText="1"/>
    </xf>
    <xf numFmtId="0" fontId="2" fillId="2" borderId="40" applyNumberFormat="0" applyFont="1" applyFill="1" applyBorder="1" applyAlignment="1" applyProtection="0">
      <alignment vertical="top" wrapText="1"/>
    </xf>
    <xf numFmtId="49" fontId="2" fillId="3" borderId="41" applyNumberFormat="1" applyFont="1" applyFill="1" applyBorder="1" applyAlignment="1" applyProtection="0">
      <alignment vertical="top" wrapText="1"/>
    </xf>
    <xf numFmtId="49" fontId="0" borderId="42" applyNumberFormat="1" applyFont="1" applyFill="0" applyBorder="1" applyAlignment="1" applyProtection="0">
      <alignment vertical="top" wrapText="1"/>
    </xf>
    <xf numFmtId="0" fontId="2" fillId="3" borderId="43" applyNumberFormat="0" applyFont="1" applyFill="1" applyBorder="1" applyAlignment="1" applyProtection="0">
      <alignment vertical="top" wrapText="1"/>
    </xf>
    <xf numFmtId="0" fontId="0" borderId="42" applyNumberFormat="1" applyFont="1" applyFill="0" applyBorder="1" applyAlignment="1" applyProtection="0">
      <alignment vertical="top" wrapText="1"/>
    </xf>
    <xf numFmtId="0" fontId="2" fillId="3" borderId="44" applyNumberFormat="0" applyFont="1" applyFill="1" applyBorder="1" applyAlignment="1" applyProtection="0">
      <alignment vertical="top" wrapText="1"/>
    </xf>
    <xf numFmtId="49" fontId="0" borderId="45" applyNumberFormat="1" applyFont="1" applyFill="0" applyBorder="1" applyAlignment="1" applyProtection="0">
      <alignment vertical="top" wrapText="1"/>
    </xf>
    <xf numFmtId="49" fontId="0" borderId="46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49" fontId="0" borderId="47" applyNumberFormat="1" applyFont="1" applyFill="0" applyBorder="1" applyAlignment="1" applyProtection="0">
      <alignment vertical="top" wrapText="1"/>
    </xf>
    <xf numFmtId="0" fontId="0" borderId="4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95bff"/>
      <rgbColor rgb="fff4f4f4"/>
      <rgbColor rgb="ff515151"/>
      <rgbColor rgb="fffefefe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9609" style="1" customWidth="1"/>
    <col min="3" max="3" width="25.2109" style="1" customWidth="1"/>
    <col min="4" max="4" width="22.4688" style="1" customWidth="1"/>
    <col min="5" max="5" width="4.88281" style="1" customWidth="1"/>
    <col min="6" max="6" width="32.6406" style="1" customWidth="1"/>
    <col min="7" max="7" width="24.8594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05" customHeight="1">
      <c r="A2" s="3"/>
      <c r="B2" s="4"/>
      <c r="C2" s="4"/>
      <c r="D2" s="5"/>
      <c r="E2" s="5"/>
      <c r="F2" s="5"/>
      <c r="G2" s="5"/>
      <c r="H2" s="6"/>
    </row>
    <row r="3" ht="21.55" customHeight="1">
      <c r="A3" s="7"/>
      <c r="B3" t="s" s="8">
        <v>1</v>
      </c>
      <c r="C3" s="9"/>
      <c r="D3" s="10"/>
      <c r="E3" s="11"/>
      <c r="F3" t="s" s="12">
        <v>2</v>
      </c>
      <c r="G3" s="11"/>
      <c r="H3" s="13"/>
    </row>
    <row r="4" ht="22.7" customHeight="1">
      <c r="A4" s="14"/>
      <c r="B4" t="s" s="15">
        <v>3</v>
      </c>
      <c r="C4" t="s" s="15">
        <v>4</v>
      </c>
      <c r="D4" s="16"/>
      <c r="E4" s="17"/>
      <c r="F4" s="18"/>
      <c r="G4" s="18"/>
      <c r="H4" s="19"/>
    </row>
    <row r="5" ht="22.7" customHeight="1">
      <c r="A5" s="14"/>
      <c r="B5" s="20">
        <v>200000</v>
      </c>
      <c r="C5" s="20">
        <v>100000</v>
      </c>
      <c r="D5" s="21"/>
      <c r="E5" s="22"/>
      <c r="F5" t="s" s="23">
        <v>5</v>
      </c>
      <c r="G5" s="24">
        <f>IF(B27=0,B20,IF(B27=1,IF(C27&gt;=B16,C20,IF(D29=1,IF(D31&lt;B16,C22,(C14+D18)/(B14+B16)),(C14+D18)/(B14+B16))),IF(C27&gt;=B18,D20,IF(D29=2,IF(D31&lt;B18,D22,(C14+B18)/(B14+D16)),(C14+B18)/(B14+D16)))))</f>
        <v>0.5031117469853196</v>
      </c>
      <c r="H5" s="25"/>
    </row>
    <row r="6" ht="34.7" customHeight="1">
      <c r="A6" s="14"/>
      <c r="B6" t="s" s="15">
        <v>6</v>
      </c>
      <c r="C6" t="s" s="15">
        <v>7</v>
      </c>
      <c r="D6" s="16"/>
      <c r="E6" s="26"/>
      <c r="F6" t="s" s="27">
        <v>8</v>
      </c>
      <c r="G6" s="28">
        <f>IF(AND((D31&lt;B16),D29=1),(B16-D31)/B16*(1+C12),0)</f>
        <v>0</v>
      </c>
      <c r="H6" s="29"/>
    </row>
    <row r="7" ht="22.7" customHeight="1">
      <c r="A7" s="14"/>
      <c r="B7" s="20">
        <v>150</v>
      </c>
      <c r="C7" s="20">
        <v>100</v>
      </c>
      <c r="D7" s="21"/>
      <c r="E7" s="22"/>
      <c r="F7" t="s" s="30">
        <v>9</v>
      </c>
      <c r="G7" s="31">
        <f>IF(B27=1,IF(C27&gt;=B16,(D27/C16)*(1+C12),(1+C12)),0)</f>
        <v>0</v>
      </c>
      <c r="H7" s="25"/>
    </row>
    <row r="8" ht="22.7" customHeight="1">
      <c r="A8" s="14"/>
      <c r="B8" t="s" s="15">
        <v>10</v>
      </c>
      <c r="C8" t="s" s="15">
        <v>11</v>
      </c>
      <c r="D8" s="16"/>
      <c r="E8" s="26"/>
      <c r="F8" t="s" s="27">
        <v>12</v>
      </c>
      <c r="G8" s="28">
        <f>IF(AND((D31&lt;B18),D29=2),(B18-D31)/B18*(1+C12),0)</f>
        <v>0</v>
      </c>
      <c r="H8" s="29"/>
    </row>
    <row r="9" ht="22.7" customHeight="1">
      <c r="A9" s="14"/>
      <c r="B9" s="20">
        <v>750</v>
      </c>
      <c r="C9" s="20">
        <v>150</v>
      </c>
      <c r="D9" s="21"/>
      <c r="E9" s="22"/>
      <c r="F9" t="s" s="30">
        <v>12</v>
      </c>
      <c r="G9" s="31">
        <f>IF(B27=2,IF(C27&gt;=B18,D27/C18*(1+C12),1+C12),0)</f>
        <v>1.003</v>
      </c>
      <c r="H9" s="25"/>
    </row>
    <row r="10" ht="21.35" customHeight="1">
      <c r="A10" s="32"/>
      <c r="B10" s="33"/>
      <c r="C10" s="34"/>
      <c r="D10" s="17"/>
      <c r="E10" s="26"/>
      <c r="F10" s="35"/>
      <c r="G10" s="26"/>
      <c r="H10" s="29"/>
    </row>
    <row r="11" ht="20.05" customHeight="1">
      <c r="A11" s="32"/>
      <c r="B11" t="s" s="36">
        <v>13</v>
      </c>
      <c r="C11" t="s" s="37">
        <v>14</v>
      </c>
      <c r="D11" t="s" s="37">
        <v>15</v>
      </c>
      <c r="E11" s="22"/>
      <c r="F11" t="s" s="30">
        <v>3</v>
      </c>
      <c r="G11" s="31">
        <f>(B14+B29*(1+C12)-(C29/G5))</f>
        <v>198763.7474199678</v>
      </c>
      <c r="H11" s="25"/>
    </row>
    <row r="12" ht="20.05" customHeight="1">
      <c r="A12" s="32"/>
      <c r="B12" s="38">
        <v>0.001</v>
      </c>
      <c r="C12" s="39">
        <f>'Calculate Fee Rate'!E10/100</f>
        <v>0.003</v>
      </c>
      <c r="D12" s="40">
        <v>0.05</v>
      </c>
      <c r="E12" s="26"/>
      <c r="F12" t="s" s="27">
        <v>4</v>
      </c>
      <c r="G12" s="28">
        <f>(C14+C29*(1+C12)-(B29*G5))</f>
        <v>100624.5926470639</v>
      </c>
      <c r="H12" s="29"/>
    </row>
    <row r="13" ht="20.05" customHeight="1">
      <c r="A13" s="41"/>
      <c r="B13" t="s" s="42">
        <v>3</v>
      </c>
      <c r="C13" t="s" s="42">
        <v>4</v>
      </c>
      <c r="D13" s="43"/>
      <c r="E13" s="22"/>
      <c r="F13" t="s" s="30">
        <v>16</v>
      </c>
      <c r="G13" s="31">
        <f>G11-G17/G5</f>
        <v>198762.6773197302</v>
      </c>
      <c r="H13" s="25"/>
    </row>
    <row r="14" ht="20.05" customHeight="1">
      <c r="A14" s="41"/>
      <c r="B14" s="44">
        <f>B5</f>
        <v>200000</v>
      </c>
      <c r="C14" s="44">
        <f>C5</f>
        <v>100000</v>
      </c>
      <c r="D14" s="45"/>
      <c r="E14" s="26"/>
      <c r="F14" t="s" s="27">
        <v>17</v>
      </c>
      <c r="G14" s="28">
        <f>G12+G17</f>
        <v>100625.1310270639</v>
      </c>
      <c r="H14" s="29"/>
    </row>
    <row r="15" ht="20.05" customHeight="1">
      <c r="A15" s="46"/>
      <c r="B15" t="s" s="47">
        <v>18</v>
      </c>
      <c r="C15" t="s" s="42">
        <v>19</v>
      </c>
      <c r="D15" t="s" s="48">
        <v>20</v>
      </c>
      <c r="E15" s="22"/>
      <c r="F15" s="49"/>
      <c r="G15" s="22"/>
      <c r="H15" s="25"/>
    </row>
    <row r="16" ht="20.05" customHeight="1">
      <c r="A16" s="41"/>
      <c r="B16" s="44">
        <f>B7*(1-C12)</f>
        <v>149.55</v>
      </c>
      <c r="C16" s="44">
        <f>C7*(1-C12)</f>
        <v>99.7</v>
      </c>
      <c r="D16" s="50">
        <f>B16+C16</f>
        <v>249.25</v>
      </c>
      <c r="E16" s="26"/>
      <c r="F16" t="s" s="27">
        <v>21</v>
      </c>
      <c r="G16" s="28">
        <f>D16*C12*0.2</f>
        <v>0.14955</v>
      </c>
      <c r="H16" s="29"/>
    </row>
    <row r="17" ht="20.05" customHeight="1">
      <c r="A17" s="41"/>
      <c r="B17" t="s" s="42">
        <v>22</v>
      </c>
      <c r="C17" t="s" s="42">
        <v>23</v>
      </c>
      <c r="D17" s="43"/>
      <c r="E17" s="22"/>
      <c r="F17" t="s" s="30">
        <v>24</v>
      </c>
      <c r="G17" s="31">
        <f>D18*C12*0.2</f>
        <v>0.53838</v>
      </c>
      <c r="H17" s="25"/>
    </row>
    <row r="18" ht="20.05" customHeight="1">
      <c r="A18" s="41"/>
      <c r="B18" s="44">
        <f>B9*(1-C12)</f>
        <v>747.75</v>
      </c>
      <c r="C18" s="44">
        <f>C9*(1-C12)</f>
        <v>149.55</v>
      </c>
      <c r="D18" s="50">
        <f>B18+C18</f>
        <v>897.3</v>
      </c>
      <c r="E18" s="26"/>
      <c r="F18" s="35"/>
      <c r="G18" s="26"/>
      <c r="H18" s="29"/>
    </row>
    <row r="19" ht="20.05" customHeight="1">
      <c r="A19" s="41"/>
      <c r="B19" t="s" s="51">
        <v>5</v>
      </c>
      <c r="C19" t="s" s="51">
        <v>25</v>
      </c>
      <c r="D19" t="s" s="48">
        <v>26</v>
      </c>
      <c r="E19" s="22"/>
      <c r="F19" t="s" s="30">
        <v>27</v>
      </c>
      <c r="G19" s="31">
        <f>B7*G5</f>
        <v>75.46676204779794</v>
      </c>
      <c r="H19" s="25"/>
    </row>
    <row r="20" ht="20.05" customHeight="1">
      <c r="A20" s="32"/>
      <c r="B20" s="52">
        <f>(C14+D18)/(B14+D16)</f>
        <v>0.5038585662617963</v>
      </c>
      <c r="C20" s="53">
        <f>B22*(1-B12)</f>
        <v>0.4995</v>
      </c>
      <c r="D20" s="40">
        <f>B22*(1+B12)</f>
        <v>0.5004999999999999</v>
      </c>
      <c r="E20" s="26"/>
      <c r="F20" t="s" s="27">
        <v>28</v>
      </c>
      <c r="G20" s="28">
        <f>C7*G5</f>
        <v>50.31117469853196</v>
      </c>
      <c r="H20" s="29"/>
    </row>
    <row r="21" ht="20.05" customHeight="1">
      <c r="A21" s="32"/>
      <c r="B21" t="s" s="36">
        <v>29</v>
      </c>
      <c r="C21" t="s" s="37">
        <v>30</v>
      </c>
      <c r="D21" t="s" s="37">
        <v>31</v>
      </c>
      <c r="E21" s="22"/>
      <c r="F21" t="s" s="30">
        <v>27</v>
      </c>
      <c r="G21" s="31">
        <f>B9/G5</f>
        <v>1490.722497524759</v>
      </c>
      <c r="H21" s="25"/>
    </row>
    <row r="22" ht="21.35" customHeight="1">
      <c r="A22" s="32"/>
      <c r="B22" s="54">
        <f>C14/B14</f>
        <v>0.5</v>
      </c>
      <c r="C22" s="40">
        <f>B22*(1-D12)</f>
        <v>0.475</v>
      </c>
      <c r="D22" s="40">
        <f>B22*(1+D12)</f>
        <v>0.525</v>
      </c>
      <c r="E22" s="26"/>
      <c r="F22" t="s" s="55">
        <v>28</v>
      </c>
      <c r="G22" s="56">
        <f>C9/G5</f>
        <v>298.1444995049517</v>
      </c>
      <c r="H22" s="29"/>
    </row>
    <row r="23" ht="21.35" customHeight="1">
      <c r="A23" s="32"/>
      <c r="B23" s="57"/>
      <c r="C23" s="58"/>
      <c r="D23" s="58"/>
      <c r="E23" s="58"/>
      <c r="F23" s="59"/>
      <c r="G23" s="59"/>
      <c r="H23" s="60"/>
    </row>
    <row r="24" ht="20.05" customHeight="1">
      <c r="A24" s="32"/>
      <c r="B24" t="s" s="61">
        <v>32</v>
      </c>
      <c r="C24" t="s" s="62">
        <v>33</v>
      </c>
      <c r="D24" t="s" s="62">
        <v>34</v>
      </c>
      <c r="E24" s="17"/>
      <c r="F24" s="17"/>
      <c r="G24" s="17"/>
      <c r="H24" s="19"/>
    </row>
    <row r="25" ht="20.05" customHeight="1">
      <c r="A25" s="32"/>
      <c r="B25" s="63">
        <f>B18/B22</f>
        <v>1495.5</v>
      </c>
      <c r="C25" s="64">
        <f>C18/B22</f>
        <v>299.1</v>
      </c>
      <c r="D25" s="64">
        <f>B25+C25</f>
        <v>1794.6</v>
      </c>
      <c r="E25" s="58"/>
      <c r="F25" s="58"/>
      <c r="G25" s="58"/>
      <c r="H25" s="60"/>
    </row>
    <row r="26" ht="20.05" customHeight="1">
      <c r="A26" s="32"/>
      <c r="B26" t="s" s="61">
        <v>35</v>
      </c>
      <c r="C26" t="s" s="62">
        <v>36</v>
      </c>
      <c r="D26" t="s" s="62">
        <v>37</v>
      </c>
      <c r="E26" s="17"/>
      <c r="F26" s="17"/>
      <c r="G26" s="17"/>
      <c r="H26" s="19"/>
    </row>
    <row r="27" ht="20.05" customHeight="1">
      <c r="A27" s="32"/>
      <c r="B27" s="63">
        <f>IF(AND(B20&lt;=D20,B20&gt;=C20),0,IF(B20&lt;C20,1,2))</f>
        <v>2</v>
      </c>
      <c r="C27" s="64">
        <f>IF(B27=1,(C14+D18)/C20-(B14),IF(B27=2,(B14+D16)*D20-(C14),0))</f>
        <v>224.7496249999822</v>
      </c>
      <c r="D27" s="64">
        <f>IF(B27=1,D16-C27,IF(B27=2,D18-C27,0))</f>
        <v>672.5503750000178</v>
      </c>
      <c r="E27" s="58"/>
      <c r="F27" s="58"/>
      <c r="G27" s="58"/>
      <c r="H27" s="60"/>
    </row>
    <row r="28" ht="20.05" customHeight="1">
      <c r="A28" s="32"/>
      <c r="B28" t="s" s="61">
        <v>38</v>
      </c>
      <c r="C28" t="s" s="62">
        <v>39</v>
      </c>
      <c r="D28" t="s" s="62">
        <v>40</v>
      </c>
      <c r="E28" s="17"/>
      <c r="F28" s="17"/>
      <c r="G28" s="17"/>
      <c r="H28" s="19"/>
    </row>
    <row r="29" ht="20.05" customHeight="1">
      <c r="A29" s="32"/>
      <c r="B29" s="63">
        <f>IF(B27=1,IF(D27&lt;=C16,C27,IF(AND(D29=1,B31=1),D31,B16)),D16)</f>
        <v>249.25</v>
      </c>
      <c r="C29" s="64">
        <f>IF(B27=2,IF(D27&lt;=C18,C27,IF(AND(D29=2,B31=2),D31,B18)),D18)</f>
        <v>747.75</v>
      </c>
      <c r="D29" s="64">
        <f>IF(B20&lt;C22,1,IF(B20&gt;D22,2,0))</f>
        <v>0</v>
      </c>
      <c r="E29" s="58"/>
      <c r="F29" s="58"/>
      <c r="G29" s="58"/>
      <c r="H29" s="60"/>
    </row>
    <row r="30" ht="20.05" customHeight="1">
      <c r="A30" s="32"/>
      <c r="B30" t="s" s="61">
        <v>41</v>
      </c>
      <c r="C30" s="17"/>
      <c r="D30" t="s" s="62">
        <v>42</v>
      </c>
      <c r="E30" s="17"/>
      <c r="F30" s="17"/>
      <c r="G30" s="17"/>
      <c r="H30" s="19"/>
    </row>
    <row r="31" ht="20.05" customHeight="1">
      <c r="A31" s="32"/>
      <c r="B31" s="57"/>
      <c r="C31" s="58"/>
      <c r="D31" s="64">
        <f>IF(D29=1,(C14+D18)/C22-B14,IF(D29=2,(B14+D16)*D22-C14,0))</f>
        <v>0</v>
      </c>
      <c r="E31" s="58"/>
      <c r="F31" s="58"/>
      <c r="G31" s="58"/>
      <c r="H31" s="60"/>
    </row>
    <row r="32" ht="20.05" customHeight="1">
      <c r="A32" s="32"/>
      <c r="B32" s="65"/>
      <c r="C32" s="17"/>
      <c r="D32" s="17"/>
      <c r="E32" s="17"/>
      <c r="F32" s="17"/>
      <c r="G32" s="17"/>
      <c r="H32" s="19"/>
    </row>
    <row r="33" ht="20.05" customHeight="1">
      <c r="A33" s="32"/>
      <c r="B33" s="57"/>
      <c r="C33" s="58"/>
      <c r="D33" s="58"/>
      <c r="E33" s="58"/>
      <c r="F33" s="58"/>
      <c r="G33" s="58"/>
      <c r="H33" s="60"/>
    </row>
    <row r="34" ht="19.85" customHeight="1">
      <c r="A34" s="66"/>
      <c r="B34" s="67"/>
      <c r="C34" s="68"/>
      <c r="D34" s="68"/>
      <c r="E34" s="68"/>
      <c r="F34" s="68"/>
      <c r="G34" s="68"/>
      <c r="H34" s="69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70" customWidth="1"/>
    <col min="2" max="2" width="20.3594" style="70" customWidth="1"/>
    <col min="3" max="3" width="20.7422" style="70" customWidth="1"/>
    <col min="4" max="4" width="16.3516" style="70" customWidth="1"/>
    <col min="5" max="5" width="26.8203" style="70" customWidth="1"/>
    <col min="6" max="256" width="16.3516" style="70" customWidth="1"/>
  </cols>
  <sheetData>
    <row r="1" ht="27.65" customHeight="1">
      <c r="A1" t="s" s="2">
        <v>0</v>
      </c>
      <c r="B1" s="2"/>
      <c r="C1" s="2"/>
      <c r="D1" s="2"/>
      <c r="E1" s="2"/>
    </row>
    <row r="2" ht="21.35" customHeight="1">
      <c r="A2" s="71"/>
      <c r="B2" s="72"/>
      <c r="C2" s="72"/>
      <c r="D2" s="72"/>
      <c r="E2" s="72"/>
    </row>
    <row r="3" ht="22.7" customHeight="1">
      <c r="A3" t="s" s="73">
        <v>1</v>
      </c>
      <c r="B3" t="s" s="74">
        <v>43</v>
      </c>
      <c r="C3" t="s" s="74">
        <v>44</v>
      </c>
      <c r="D3" t="s" s="74">
        <v>45</v>
      </c>
      <c r="E3" t="s" s="74">
        <v>46</v>
      </c>
    </row>
    <row r="4" ht="22.7" customHeight="1">
      <c r="A4" s="75"/>
      <c r="B4" s="76">
        <v>200</v>
      </c>
      <c r="C4" s="76">
        <v>100</v>
      </c>
      <c r="D4" s="76">
        <f>100</f>
        <v>100</v>
      </c>
      <c r="E4" s="76">
        <v>389960</v>
      </c>
    </row>
    <row r="5" ht="21.35" customHeight="1">
      <c r="A5" s="77"/>
      <c r="B5" t="s" s="78">
        <v>47</v>
      </c>
      <c r="C5" t="s" s="79">
        <v>48</v>
      </c>
      <c r="D5" t="s" s="79">
        <v>49</v>
      </c>
      <c r="E5" t="s" s="79">
        <v>50</v>
      </c>
    </row>
    <row r="6" ht="20.05" customHeight="1">
      <c r="A6" s="77"/>
      <c r="B6" s="63">
        <f>B4/C4</f>
        <v>2</v>
      </c>
      <c r="C6" s="64">
        <f>D4/100</f>
        <v>1</v>
      </c>
      <c r="D6" s="64">
        <f>E4</f>
        <v>389960</v>
      </c>
      <c r="E6" s="64">
        <f>D6^(0.5)/E8</f>
        <v>0.1112004967704229</v>
      </c>
    </row>
    <row r="7" ht="20.05" customHeight="1">
      <c r="A7" s="77"/>
      <c r="B7" t="s" s="36">
        <v>51</v>
      </c>
      <c r="C7" t="s" s="37">
        <v>52</v>
      </c>
      <c r="D7" t="s" s="37">
        <v>53</v>
      </c>
      <c r="E7" t="s" s="37">
        <v>54</v>
      </c>
    </row>
    <row r="8" ht="21.35" customHeight="1">
      <c r="A8" s="77"/>
      <c r="B8" t="s" s="36">
        <v>55</v>
      </c>
      <c r="C8" t="s" s="37">
        <v>56</v>
      </c>
      <c r="D8" s="64">
        <v>0.3</v>
      </c>
      <c r="E8" s="80">
        <f>(3600*24*365)^0.5</f>
        <v>5615.692299262843</v>
      </c>
    </row>
    <row r="9" ht="21.35" customHeight="1">
      <c r="A9" s="77"/>
      <c r="B9" s="63">
        <v>-1332.906524709810</v>
      </c>
      <c r="C9" t="s" s="37">
        <v>57</v>
      </c>
      <c r="D9" s="22"/>
      <c r="E9" t="s" s="81">
        <v>58</v>
      </c>
    </row>
    <row r="10" ht="33.35" customHeight="1">
      <c r="A10" s="77"/>
      <c r="B10" t="s" s="36">
        <v>59</v>
      </c>
      <c r="C10" t="s" s="37">
        <v>60</v>
      </c>
      <c r="D10" s="22"/>
      <c r="E10" s="82">
        <f>IF((E6*E13+E14&gt;=B6),B12,IF(D13*E6+D14&gt;=B6,C12,D8))</f>
        <v>0.3</v>
      </c>
    </row>
    <row r="11" ht="21.35" customHeight="1">
      <c r="A11" s="77"/>
      <c r="B11" s="63">
        <f>B8*B6+B9*C6*E6+B10</f>
        <v>-273.6199450719639</v>
      </c>
      <c r="C11" s="64">
        <f>C8*B6+C9*C6*E6+C10</f>
        <v>-3.699335251186682</v>
      </c>
      <c r="D11" s="58"/>
      <c r="E11" s="59"/>
    </row>
    <row r="12" ht="20.05" customHeight="1">
      <c r="A12" s="77"/>
      <c r="B12" s="63">
        <f>0.15*B11</f>
        <v>-41.04299176079459</v>
      </c>
      <c r="C12" s="64">
        <f>0.15*C11</f>
        <v>-0.5549002876780023</v>
      </c>
      <c r="D12" s="58"/>
      <c r="E12" s="58"/>
    </row>
    <row r="13" ht="32.05" customHeight="1">
      <c r="A13" s="77"/>
      <c r="B13" s="57"/>
      <c r="C13" s="58"/>
      <c r="D13" t="s" s="37">
        <v>61</v>
      </c>
      <c r="E13" t="s" s="37">
        <v>62</v>
      </c>
    </row>
    <row r="14" ht="32.05" customHeight="1">
      <c r="A14" s="77"/>
      <c r="B14" s="57"/>
      <c r="C14" s="58"/>
      <c r="D14" t="s" s="37">
        <v>63</v>
      </c>
      <c r="E14" t="s" s="37">
        <v>64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